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raymondfrost/Desktop/CTLA/"/>
    </mc:Choice>
  </mc:AlternateContent>
  <xr:revisionPtr revIDLastSave="0" documentId="13_ncr:1_{D097B72B-FE60-4641-A99D-D9B11BBE764F}" xr6:coauthVersionLast="47" xr6:coauthVersionMax="47" xr10:uidLastSave="{00000000-0000-0000-0000-000000000000}"/>
  <bookViews>
    <workbookView xWindow="7960" yWindow="760" windowWidth="28220" windowHeight="20400" xr2:uid="{D74453BC-5575-284B-9EEE-FC8A355646B3}"/>
  </bookViews>
  <sheets>
    <sheet name="Assets" sheetId="2" r:id="rId1"/>
    <sheet name="Financial Analysis Bal Sheet" sheetId="3" r:id="rId2"/>
    <sheet name="Merchandiser Budget" sheetId="8" r:id="rId3"/>
    <sheet name="Bakery Pivots" sheetId="7" r:id="rId4"/>
    <sheet name="LoanPayment" sheetId="4" r:id="rId5"/>
  </sheets>
  <externalReferences>
    <externalReference r:id="rId6"/>
  </externalReferences>
  <definedNames>
    <definedName name="mlbPosition">'[1]7 salary'!$E$2:$E$85</definedName>
    <definedName name="mlbSalary">'[1]7 salary'!$D$2:$D$85</definedName>
    <definedName name="mlbYear">'[1]7 salary'!$B$2:$B$85</definedName>
    <definedName name="nflPosition">'[1]4 NFL_Salary'!$C$2:$C$17295</definedName>
    <definedName name="nflTotalSalary">'[1]4 NFL_Salary'!$E$2:$E$17295</definedName>
    <definedName name="nflYear">'[1]4 NFL_Salary'!$A$2:$A$17295</definedName>
    <definedName name="ST_2008Bonus">#REF!</definedName>
    <definedName name="ST_2008Bonus_12">#REF!</definedName>
    <definedName name="ST_2008Bonus_13">#REF!</definedName>
    <definedName name="ST_2008Other">#REF!</definedName>
    <definedName name="ST_2008Other_13">#REF!</definedName>
    <definedName name="ST_2008Other_14">#REF!</definedName>
    <definedName name="ST_2008Salary">#REF!</definedName>
    <definedName name="ST_2008Salary_11">#REF!</definedName>
    <definedName name="ST_2008Salary_12">#REF!</definedName>
    <definedName name="ST_2008Stockgains">#REF!</definedName>
    <definedName name="ST_2008Stockgains_14">#REF!</definedName>
    <definedName name="ST_2008Stockgains_15">#REF!</definedName>
    <definedName name="ST_5yearcompensationtotal">#REF!</definedName>
    <definedName name="ST_5yearcompensationtotal_15">#REF!</definedName>
    <definedName name="ST_5yearcompensationtotal_16">#REF!</definedName>
    <definedName name="ST_6yearannualtotalreturn">#REF!</definedName>
    <definedName name="ST_6yearannualtotalreturn_18">#REF!</definedName>
    <definedName name="ST_6yearannualtotalreturn_19">#REF!</definedName>
    <definedName name="ST_6yearaveragecompensation">#REF!</definedName>
    <definedName name="ST_6yearaveragecompensation_17">#REF!</definedName>
    <definedName name="ST_6yearaveragecompensation_18">#REF!</definedName>
    <definedName name="ST_6yearreturnrelativetoindustry">#REF!</definedName>
    <definedName name="ST_6yearreturnrelativetoindustry_19">#REF!</definedName>
    <definedName name="ST_6yearreturnrelativetoindustry_20">#REF!</definedName>
    <definedName name="ST_6yearreturnrelativetomarket">#REF!</definedName>
    <definedName name="ST_6yearreturnrelativetomarket_20">#REF!</definedName>
    <definedName name="ST_6yearreturnrelativetomarket_21">#REF!</definedName>
    <definedName name="ST_Age">#REF!</definedName>
    <definedName name="ST_Age_10">#REF!</definedName>
    <definedName name="ST_Age_9">#REF!</definedName>
    <definedName name="ST_CEO">#REF!</definedName>
    <definedName name="ST_CEO_1">#REF!</definedName>
    <definedName name="ST_CEO_2">#REF!</definedName>
    <definedName name="ST_Company">#REF!</definedName>
    <definedName name="ST_Company_3">#REF!</definedName>
    <definedName name="ST_Company_4">#REF!</definedName>
    <definedName name="ST_Founder">#REF!</definedName>
    <definedName name="ST_Founder_6">#REF!</definedName>
    <definedName name="ST_Founder_7">#REF!</definedName>
    <definedName name="ST_Gender">#REF!</definedName>
    <definedName name="ST_Gender_2">#REF!</definedName>
    <definedName name="ST_Gender_3">#REF!</definedName>
    <definedName name="ST_Industry">#REF!</definedName>
    <definedName name="ST_Industry_5">#REF!</definedName>
    <definedName name="ST_Industry_6">#REF!</definedName>
    <definedName name="ST_Performancevspayrank">#REF!</definedName>
    <definedName name="ST_Performancevspayrank_21">#REF!</definedName>
    <definedName name="ST_Performancevspayrank_22">#REF!</definedName>
    <definedName name="ST_Relativetomarket">#REF!</definedName>
    <definedName name="ST_Relativetomarket_23">#REF!</definedName>
    <definedName name="ST_Relativetomarket_24">#REF!</definedName>
    <definedName name="ST_Sharesownedmillions">#REF!</definedName>
    <definedName name="ST_Sharesownedmillions_16">#REF!</definedName>
    <definedName name="ST_Sharesownedmillions_17">#REF!</definedName>
    <definedName name="ST_Ticker">#REF!</definedName>
    <definedName name="ST_Ticker_4">#REF!</definedName>
    <definedName name="ST_Ticker_5">#REF!</definedName>
    <definedName name="ST_Total2008compensation">#REF!</definedName>
    <definedName name="ST_Total2008compensation_10">#REF!</definedName>
    <definedName name="ST_Total2008compensation_11">#REF!</definedName>
    <definedName name="ST_Totalreturnduringtenure">#REF!</definedName>
    <definedName name="ST_Totalreturnduringtenure_22">#REF!</definedName>
    <definedName name="ST_Totalreturnduringtenure_23">#REF!</definedName>
    <definedName name="ST_YearsascompanyCEO">#REF!</definedName>
    <definedName name="ST_YearsascompanyCEO_7">#REF!</definedName>
    <definedName name="ST_YearsascompanyCEO_8">#REF!</definedName>
    <definedName name="ST_Yearswithcompany">#REF!</definedName>
    <definedName name="ST_Yearswithcompany_8">#REF!</definedName>
    <definedName name="ST_Yearswithcompany_9">#REF!</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"U_x0001_VG182E5E4D206CFCF8_x0001_"</definedName>
    <definedName name="STWBD_StatToolsBoxPlot_VarSelectorDefaultDataSet" hidden="1">"DG1872AA41"</definedName>
    <definedName name="STWBD_StatToolsCorrAndCovar_CorrelationTable" hidden="1">"TRUE"</definedName>
    <definedName name="STWBD_StatToolsCorrAndCovar_CovarianceTable" hidden="1">"FALSE"</definedName>
    <definedName name="STWBD_StatToolsCorrAndCovar_HasDefaultInfo" hidden="1">"TRUE"</definedName>
    <definedName name="STWBD_StatToolsCorrAndCovar_TableStructure" hidden="1">" 2"</definedName>
    <definedName name="STWBD_StatToolsCorrAndCovar_VariableList" hidden="1">7</definedName>
    <definedName name="STWBD_StatToolsCorrAndCovar_VariableList_1" hidden="1">"U_x0001_VG311DA99221362065_x0001_"</definedName>
    <definedName name="STWBD_StatToolsCorrAndCovar_VariableList_2" hidden="1">"U_x0001_VG28B6D35E1ECDE5FE_x0001_"</definedName>
    <definedName name="STWBD_StatToolsCorrAndCovar_VariableList_3" hidden="1">"U_x0001_VG30D0E3DFB4EE9D8_x0001_"</definedName>
    <definedName name="STWBD_StatToolsCorrAndCovar_VariableList_4" hidden="1">"U_x0001_VGAEB627D45EA2C0_x0001_"</definedName>
    <definedName name="STWBD_StatToolsCorrAndCovar_VariableList_5" hidden="1">"U_x0001_VGDA3D1C239F1E039_x0001_"</definedName>
    <definedName name="STWBD_StatToolsCorrAndCovar_VariableList_6" hidden="1">"U_x0001_VG2FB27BA4CCC867_x0001_"</definedName>
    <definedName name="STWBD_StatToolsCorrAndCovar_VariableList_7" hidden="1">"U_x0001_VG25CCE92D2B384754_x0001_"</definedName>
    <definedName name="STWBD_StatToolsCorrAndCovar_VarSelectorDefaultDataSet" hidden="1">"DG8698F88"</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5</definedName>
    <definedName name="STWBD_StatToolsHistogram_VariableList_1" hidden="1">"U_x0001_VGC2EA1FE2DC6B63F_x0001_"</definedName>
    <definedName name="STWBD_StatToolsHistogram_VariableList_2" hidden="1">"U_x0001_VG1255019D37BD387B_x0001_"</definedName>
    <definedName name="STWBD_StatToolsHistogram_VariableList_3" hidden="1">"U_x0001_VG1DDD84DB3555E32F_x0001_"</definedName>
    <definedName name="STWBD_StatToolsHistogram_VariableList_4" hidden="1">"U_x0001_VG78B0AB97BC55E9_x0001_"</definedName>
    <definedName name="STWBD_StatToolsHistogram_VariableList_5" hidden="1">"U_x0001_VGCA7AED177BAD0C_x0001_"</definedName>
    <definedName name="STWBD_StatToolsHistogram_VarSelectorDefaultDataSet" hidden="1">"DG3ACEFB72"</definedName>
    <definedName name="STWBD_StatToolsHistogram_XAxisStyle" hidden="1">" 0"</definedName>
    <definedName name="STWBD_StatToolsHistogram_YAxisStyle" hidden="1">" 0"</definedName>
    <definedName name="STWBD_StatToolsOneVarSummary_Count" hidden="1">"FALSE"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"FALSE"</definedName>
    <definedName name="STWBD_StatToolsOneVarSummary_Kurtosis" hidden="1">"FALSE"</definedName>
    <definedName name="STWBD_StatToolsOneVarSummary_Maximum" hidden="1">"TRUE"</definedName>
    <definedName name="STWBD_StatToolsOneVarSummary_Mean" hidden="1">"TRUE"</definedName>
    <definedName name="STWBD_StatToolsOneVarSummary_MeanAbsDeviation" hidden="1">"FALSE"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"FALSE"</definedName>
    <definedName name="STWBD_StatToolsOneVarSummary_Skewness" hidden="1">"FALSE"</definedName>
    <definedName name="STWBD_StatToolsOneVarSummary_StandardDeviation" hidden="1">"TRUE"</definedName>
    <definedName name="STWBD_StatToolsOneVarSummary_Sum" hidden="1">"FALSE"</definedName>
    <definedName name="STWBD_StatToolsOneVarSummary_ThirdQuartile" hidden="1">"TRUE"</definedName>
    <definedName name="STWBD_StatToolsOneVarSummary_VariableList" hidden="1">5</definedName>
    <definedName name="STWBD_StatToolsOneVarSummary_VariableList_1" hidden="1">"U_x0001_VG3400DDF0948AEF1_x0001_"</definedName>
    <definedName name="STWBD_StatToolsOneVarSummary_VariableList_2" hidden="1">"U_x0001_VG182E5E4D206CFCF8_x0001_"</definedName>
    <definedName name="STWBD_StatToolsOneVarSummary_VariableList_3" hidden="1">"U_x0001_VG35C6311DBAB6322_x0001_"</definedName>
    <definedName name="STWBD_StatToolsOneVarSummary_VariableList_4" hidden="1">"U_x0001_VG8D4EB183A594303_x0001_"</definedName>
    <definedName name="STWBD_StatToolsOneVarSummary_VariableList_5" hidden="1">"U_x0001_VG33484C382EA22499_x0001_"</definedName>
    <definedName name="STWBD_StatToolsOneVarSummary_Variance" hidden="1">"FALSE"</definedName>
    <definedName name="STWBD_StatToolsOneVarSummary_VarSelectorDefaultDataSet" hidden="1">"DG1872AA41"</definedName>
    <definedName name="STWBD_StatToolsScatterplot_DisplayCorrelationCoefficient" hidden="1">"FALSE"</definedName>
    <definedName name="STWBD_StatToolsScatterplot_HasDefaultInfo" hidden="1">"TRUE"</definedName>
    <definedName name="STWBD_StatToolsScatterplot_VarSelectorDefaultDataSet" hidden="1">"DG8698F88"</definedName>
    <definedName name="STWBD_StatToolsScatterplot_XVariableList" hidden="1">2</definedName>
    <definedName name="STWBD_StatToolsScatterplot_XVariableList_1" hidden="1">"U_x0001_VG28B6D35E1ECDE5FE_x0001_"</definedName>
    <definedName name="STWBD_StatToolsScatterplot_XVariableList_2" hidden="1">"U_x0001_VG2FB27BA4CCC867_x0001_"</definedName>
    <definedName name="STWBD_StatToolsScatterplot_YVariableList" hidden="1">1</definedName>
    <definedName name="STWBD_StatToolsScatterplot_YVariableList_1" hidden="1">"U_x0001_VG311DA99221362065_x0001_"</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 r="G22" i="8"/>
  <c r="G20" i="8" s="1"/>
  <c r="G131" i="8" s="1"/>
  <c r="I44" i="8"/>
  <c r="I46" i="8" s="1"/>
  <c r="F45" i="8"/>
  <c r="I45" i="8" s="1"/>
  <c r="H50" i="8" s="1"/>
  <c r="F51" i="8"/>
  <c r="G51" i="8"/>
  <c r="H51" i="8"/>
  <c r="F92" i="8"/>
  <c r="G71" i="8" s="1"/>
  <c r="L104" i="8"/>
  <c r="L105" i="8" s="1"/>
  <c r="L106" i="8" s="1"/>
  <c r="L107" i="8" s="1"/>
  <c r="L108" i="8" s="1"/>
  <c r="L110" i="8" s="1"/>
  <c r="L111" i="8" s="1"/>
  <c r="L112" i="8" s="1"/>
  <c r="C110" i="8"/>
  <c r="D120" i="8"/>
  <c r="D121" i="8" s="1"/>
  <c r="D126" i="8"/>
  <c r="D128" i="8" s="1"/>
  <c r="G133" i="8" s="1"/>
  <c r="D127" i="8"/>
  <c r="G150" i="8"/>
  <c r="H150" i="8"/>
  <c r="E160" i="8"/>
  <c r="E161" i="8" s="1"/>
  <c r="G152" i="8" s="1"/>
  <c r="C15" i="2"/>
  <c r="D11" i="2" s="1"/>
  <c r="C65" i="3"/>
  <c r="H67" i="7"/>
  <c r="J67" i="7" s="1"/>
  <c r="H66" i="7"/>
  <c r="J66" i="7" s="1"/>
  <c r="H65" i="7"/>
  <c r="J65" i="7" s="1"/>
  <c r="H64" i="7"/>
  <c r="J64" i="7" s="1"/>
  <c r="H63" i="7"/>
  <c r="J63" i="7" s="1"/>
  <c r="H62" i="7"/>
  <c r="J62" i="7" s="1"/>
  <c r="H61" i="7"/>
  <c r="J61" i="7" s="1"/>
  <c r="H60" i="7"/>
  <c r="J60" i="7" s="1"/>
  <c r="H59" i="7"/>
  <c r="J59" i="7" s="1"/>
  <c r="H58" i="7"/>
  <c r="J58" i="7" s="1"/>
  <c r="H57" i="7"/>
  <c r="J57" i="7" s="1"/>
  <c r="H56" i="7"/>
  <c r="J56" i="7" s="1"/>
  <c r="H55" i="7"/>
  <c r="J55" i="7" s="1"/>
  <c r="H54" i="7"/>
  <c r="J54" i="7" s="1"/>
  <c r="H53" i="7"/>
  <c r="J53" i="7" s="1"/>
  <c r="H52" i="7"/>
  <c r="J52" i="7" s="1"/>
  <c r="H51" i="7"/>
  <c r="J51" i="7" s="1"/>
  <c r="H50" i="7"/>
  <c r="J50" i="7" s="1"/>
  <c r="H49" i="7"/>
  <c r="J49" i="7" s="1"/>
  <c r="H48" i="7"/>
  <c r="H47" i="7"/>
  <c r="J47" i="7" s="1"/>
  <c r="H46" i="7"/>
  <c r="J46" i="7" s="1"/>
  <c r="H45" i="7"/>
  <c r="J45" i="7" s="1"/>
  <c r="H44" i="7"/>
  <c r="J44" i="7" s="1"/>
  <c r="H43" i="7"/>
  <c r="J43" i="7" s="1"/>
  <c r="H42" i="7"/>
  <c r="J42" i="7" s="1"/>
  <c r="H41" i="7"/>
  <c r="J41" i="7" s="1"/>
  <c r="H40" i="7"/>
  <c r="J40" i="7" s="1"/>
  <c r="H39" i="7"/>
  <c r="H38" i="7"/>
  <c r="J38" i="7" s="1"/>
  <c r="H37" i="7"/>
  <c r="J37" i="7" s="1"/>
  <c r="H36" i="7"/>
  <c r="J36" i="7" s="1"/>
  <c r="H35" i="7"/>
  <c r="J35" i="7" s="1"/>
  <c r="H34" i="7"/>
  <c r="J34" i="7" s="1"/>
  <c r="H33" i="7"/>
  <c r="J33" i="7" s="1"/>
  <c r="H32" i="7"/>
  <c r="J32" i="7" s="1"/>
  <c r="H31" i="7"/>
  <c r="J31" i="7" s="1"/>
  <c r="H30" i="7"/>
  <c r="J30" i="7" s="1"/>
  <c r="H29" i="7"/>
  <c r="J29" i="7" s="1"/>
  <c r="H28" i="7"/>
  <c r="J28" i="7" s="1"/>
  <c r="H27" i="7"/>
  <c r="J27" i="7" s="1"/>
  <c r="H26" i="7"/>
  <c r="J26" i="7" s="1"/>
  <c r="H25" i="7"/>
  <c r="J25" i="7" s="1"/>
  <c r="H24" i="7"/>
  <c r="J24" i="7" s="1"/>
  <c r="H23" i="7"/>
  <c r="J23" i="7" s="1"/>
  <c r="H22" i="7"/>
  <c r="J22" i="7" s="1"/>
  <c r="H21" i="7"/>
  <c r="J21" i="7" s="1"/>
  <c r="H20" i="7"/>
  <c r="J20" i="7" s="1"/>
  <c r="H19" i="7"/>
  <c r="J19" i="7" s="1"/>
  <c r="H18" i="7"/>
  <c r="J18" i="7" s="1"/>
  <c r="H17" i="7"/>
  <c r="J17" i="7" s="1"/>
  <c r="H16" i="7"/>
  <c r="H15" i="7"/>
  <c r="J15" i="7" s="1"/>
  <c r="H14" i="7"/>
  <c r="J14" i="7" s="1"/>
  <c r="H13" i="7"/>
  <c r="J13" i="7" s="1"/>
  <c r="H12" i="7"/>
  <c r="J12" i="7" s="1"/>
  <c r="H11" i="7"/>
  <c r="J11" i="7" s="1"/>
  <c r="H10" i="7"/>
  <c r="J10" i="7" s="1"/>
  <c r="H9" i="7"/>
  <c r="J9" i="7" s="1"/>
  <c r="F52" i="4"/>
  <c r="E52" i="4"/>
  <c r="E51" i="4"/>
  <c r="F51" i="4" s="1"/>
  <c r="E50" i="4"/>
  <c r="F50" i="4" s="1"/>
  <c r="E49" i="4"/>
  <c r="F49" i="4" s="1"/>
  <c r="E48" i="4"/>
  <c r="F48" i="4" s="1"/>
  <c r="E47" i="4"/>
  <c r="F47" i="4" s="1"/>
  <c r="E46" i="4"/>
  <c r="F46" i="4" s="1"/>
  <c r="E45" i="4"/>
  <c r="F45" i="4" s="1"/>
  <c r="E44" i="4"/>
  <c r="F44" i="4" s="1"/>
  <c r="E43" i="4"/>
  <c r="F43" i="4" s="1"/>
  <c r="F42" i="4"/>
  <c r="E42" i="4"/>
  <c r="F41" i="4"/>
  <c r="E41" i="4"/>
  <c r="E40" i="4"/>
  <c r="F40" i="4" s="1"/>
  <c r="E39" i="4"/>
  <c r="F39" i="4" s="1"/>
  <c r="E38" i="4"/>
  <c r="F38" i="4" s="1"/>
  <c r="E37" i="4"/>
  <c r="F37" i="4" s="1"/>
  <c r="F36" i="4"/>
  <c r="E36" i="4"/>
  <c r="E35" i="4"/>
  <c r="F35" i="4" s="1"/>
  <c r="E34" i="4"/>
  <c r="F34" i="4" s="1"/>
  <c r="E33" i="4"/>
  <c r="F33" i="4" s="1"/>
  <c r="E32" i="4"/>
  <c r="F32" i="4" s="1"/>
  <c r="E31" i="4"/>
  <c r="F31" i="4" s="1"/>
  <c r="E30" i="4"/>
  <c r="F30" i="4" s="1"/>
  <c r="E29" i="4"/>
  <c r="F29" i="4" s="1"/>
  <c r="E28" i="4"/>
  <c r="F28" i="4" s="1"/>
  <c r="E27" i="4"/>
  <c r="F27" i="4" s="1"/>
  <c r="F26" i="4"/>
  <c r="E26" i="4"/>
  <c r="F25" i="4"/>
  <c r="E25" i="4"/>
  <c r="E24" i="4"/>
  <c r="F24" i="4" s="1"/>
  <c r="E23" i="4"/>
  <c r="F23" i="4" s="1"/>
  <c r="E22" i="4"/>
  <c r="F22" i="4" s="1"/>
  <c r="H52" i="8" l="1"/>
  <c r="H54" i="8" s="1"/>
  <c r="H36" i="8" s="1"/>
  <c r="D122" i="8"/>
  <c r="G132" i="8" s="1"/>
  <c r="D123" i="8"/>
  <c r="H133" i="8" s="1"/>
  <c r="H22" i="8"/>
  <c r="H20" i="8" s="1"/>
  <c r="H131" i="8" s="1"/>
  <c r="H71" i="8"/>
  <c r="G134" i="8"/>
  <c r="G180" i="8" s="1"/>
  <c r="E167" i="8"/>
  <c r="E168" i="8" s="1"/>
  <c r="E170" i="8" s="1"/>
  <c r="G153" i="8" s="1"/>
  <c r="H80" i="8"/>
  <c r="H44" i="8"/>
  <c r="G21" i="8"/>
  <c r="E163" i="8"/>
  <c r="H103" i="8"/>
  <c r="G80" i="8"/>
  <c r="G44" i="8"/>
  <c r="G103" i="8"/>
  <c r="D10" i="2"/>
  <c r="D14" i="2"/>
  <c r="D13" i="2"/>
  <c r="D12" i="2"/>
  <c r="J39" i="7"/>
  <c r="J48" i="7"/>
  <c r="J16" i="7"/>
  <c r="C17" i="4"/>
  <c r="H21" i="8" l="1"/>
  <c r="H96" i="8" s="1"/>
  <c r="H97" i="8" s="1"/>
  <c r="H74" i="8" s="1"/>
  <c r="G96" i="8"/>
  <c r="G97" i="8" s="1"/>
  <c r="G74" i="8" s="1"/>
  <c r="H120" i="8"/>
  <c r="G45" i="8"/>
  <c r="G35" i="8" s="1"/>
  <c r="G46" i="8"/>
  <c r="G81" i="8"/>
  <c r="G69" i="8" s="1"/>
  <c r="G84" i="8"/>
  <c r="G85" i="8" s="1"/>
  <c r="G87" i="8" s="1"/>
  <c r="G70" i="8" s="1"/>
  <c r="E164" i="8"/>
  <c r="H152" i="8" s="1"/>
  <c r="H167" i="8"/>
  <c r="H168" i="8" s="1"/>
  <c r="H170" i="8" s="1"/>
  <c r="H153" i="8" s="1"/>
  <c r="H45" i="8"/>
  <c r="H35" i="8" s="1"/>
  <c r="H46" i="8"/>
  <c r="H81" i="8"/>
  <c r="H69" i="8" s="1"/>
  <c r="H84" i="8"/>
  <c r="H85" i="8" s="1"/>
  <c r="H87" i="8" s="1"/>
  <c r="H70" i="8" s="1"/>
  <c r="G41" i="4"/>
  <c r="G25" i="4"/>
  <c r="G34" i="4"/>
  <c r="G24" i="4"/>
  <c r="G22" i="4"/>
  <c r="G52" i="4"/>
  <c r="G39" i="4"/>
  <c r="G33" i="4"/>
  <c r="G32" i="4"/>
  <c r="G50" i="4"/>
  <c r="G26" i="4"/>
  <c r="G23" i="4"/>
  <c r="G46" i="4"/>
  <c r="G35" i="4"/>
  <c r="G38" i="4"/>
  <c r="G51" i="4"/>
  <c r="G31" i="4"/>
  <c r="G29" i="4"/>
  <c r="G36" i="4"/>
  <c r="G49" i="4"/>
  <c r="G47" i="4"/>
  <c r="G48" i="4"/>
  <c r="G45" i="4"/>
  <c r="G44" i="4"/>
  <c r="G43" i="4"/>
  <c r="G30" i="4"/>
  <c r="G42" i="4"/>
  <c r="G28" i="4"/>
  <c r="G27" i="4"/>
  <c r="G37" i="4"/>
  <c r="G40" i="4"/>
  <c r="H37" i="8" l="1"/>
  <c r="H104" i="8"/>
  <c r="G50" i="8"/>
  <c r="G52" i="8" s="1"/>
  <c r="G54" i="8" s="1"/>
  <c r="G36" i="8" s="1"/>
  <c r="H38" i="8" s="1"/>
  <c r="H75" i="8"/>
  <c r="H106" i="8" s="1"/>
  <c r="G75" i="8"/>
  <c r="G106" i="8" s="1"/>
  <c r="G104" i="8"/>
  <c r="G105" i="8" s="1"/>
  <c r="F50" i="8"/>
  <c r="F52" i="8" s="1"/>
  <c r="F54" i="8" s="1"/>
  <c r="G38" i="8" s="1"/>
  <c r="H122" i="8"/>
  <c r="H121" i="8"/>
  <c r="H132" i="8" s="1"/>
  <c r="H134" i="8" s="1"/>
  <c r="H180" i="8" s="1"/>
  <c r="D17" i="3"/>
  <c r="F17" i="3"/>
  <c r="G17" i="3"/>
  <c r="H17" i="3" s="1"/>
  <c r="D18" i="3"/>
  <c r="F18" i="3"/>
  <c r="G18" i="3"/>
  <c r="H18" i="3" s="1"/>
  <c r="D19" i="3"/>
  <c r="F19" i="3"/>
  <c r="G19" i="3"/>
  <c r="H19" i="3" s="1"/>
  <c r="D20" i="3"/>
  <c r="F20" i="3"/>
  <c r="G20" i="3"/>
  <c r="H20" i="3" s="1"/>
  <c r="D22" i="3"/>
  <c r="F22" i="3"/>
  <c r="G22" i="3"/>
  <c r="H22" i="3" s="1"/>
  <c r="D23" i="3"/>
  <c r="F23" i="3"/>
  <c r="G23" i="3"/>
  <c r="H23" i="3" s="1"/>
  <c r="D24" i="3"/>
  <c r="F24" i="3"/>
  <c r="G24" i="3"/>
  <c r="H24" i="3"/>
  <c r="D25" i="3"/>
  <c r="F25" i="3"/>
  <c r="G25" i="3"/>
  <c r="H25" i="3" s="1"/>
  <c r="D26" i="3"/>
  <c r="F26" i="3"/>
  <c r="G26" i="3"/>
  <c r="H26" i="3" s="1"/>
  <c r="D27" i="3"/>
  <c r="F27" i="3"/>
  <c r="G27" i="3"/>
  <c r="H27" i="3" s="1"/>
  <c r="D28" i="3"/>
  <c r="C54" i="3" s="1"/>
  <c r="F28" i="3"/>
  <c r="G28" i="3"/>
  <c r="H28" i="3"/>
  <c r="D29" i="3"/>
  <c r="F29" i="3"/>
  <c r="G29" i="3"/>
  <c r="H29" i="3" s="1"/>
  <c r="D30" i="3"/>
  <c r="F30" i="3"/>
  <c r="G30" i="3"/>
  <c r="H30" i="3" s="1"/>
  <c r="D31" i="3"/>
  <c r="F31" i="3"/>
  <c r="G31" i="3"/>
  <c r="H31" i="3" s="1"/>
  <c r="D35" i="3"/>
  <c r="F35" i="3"/>
  <c r="G35" i="3"/>
  <c r="H35" i="3" s="1"/>
  <c r="D36" i="3"/>
  <c r="F36" i="3"/>
  <c r="G36" i="3"/>
  <c r="H36" i="3" s="1"/>
  <c r="D37" i="3"/>
  <c r="F37" i="3"/>
  <c r="G37" i="3"/>
  <c r="H37" i="3" s="1"/>
  <c r="D38" i="3"/>
  <c r="F38" i="3"/>
  <c r="G38" i="3"/>
  <c r="H38" i="3"/>
  <c r="D39" i="3"/>
  <c r="F39" i="3"/>
  <c r="G39" i="3"/>
  <c r="H39" i="3"/>
  <c r="D40" i="3"/>
  <c r="F40" i="3"/>
  <c r="G40" i="3"/>
  <c r="H40" i="3" s="1"/>
  <c r="D41" i="3"/>
  <c r="F41" i="3"/>
  <c r="G41" i="3"/>
  <c r="H41" i="3" s="1"/>
  <c r="D42" i="3"/>
  <c r="F42" i="3"/>
  <c r="G42" i="3"/>
  <c r="H42" i="3" s="1"/>
  <c r="D43" i="3"/>
  <c r="F43" i="3"/>
  <c r="G43" i="3"/>
  <c r="H43" i="3" s="1"/>
  <c r="D45" i="3"/>
  <c r="F45" i="3"/>
  <c r="G45" i="3"/>
  <c r="H45" i="3" s="1"/>
  <c r="D46" i="3"/>
  <c r="F46" i="3"/>
  <c r="G46" i="3"/>
  <c r="H46" i="3" s="1"/>
  <c r="D47" i="3"/>
  <c r="F47" i="3"/>
  <c r="G47" i="3"/>
  <c r="H47" i="3" s="1"/>
  <c r="D48" i="3"/>
  <c r="F48" i="3"/>
  <c r="G48" i="3"/>
  <c r="H48" i="3" s="1"/>
  <c r="D49" i="3"/>
  <c r="F49" i="3"/>
  <c r="G49" i="3"/>
  <c r="H49" i="3" s="1"/>
  <c r="D50" i="3"/>
  <c r="F50" i="3"/>
  <c r="G50" i="3"/>
  <c r="H50" i="3" s="1"/>
  <c r="G37" i="8" l="1"/>
  <c r="G39" i="8" s="1"/>
  <c r="G156" i="8" s="1"/>
  <c r="G157" i="8" s="1"/>
  <c r="G181" i="8" s="1"/>
  <c r="G182" i="8" s="1"/>
  <c r="G186" i="8" s="1"/>
  <c r="H179" i="8" s="1"/>
  <c r="G107" i="8"/>
  <c r="H105" i="8"/>
  <c r="H107" i="8" s="1"/>
  <c r="H39" i="8"/>
  <c r="H156" i="8" s="1"/>
  <c r="H157" i="8" s="1"/>
  <c r="H181" i="8" s="1"/>
  <c r="H182" i="8" l="1"/>
  <c r="H18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tc={8F693F86-F05C-C741-995C-7E04C7C125C7}</author>
    <author>tc={73B5FBD6-AA4C-9A4C-8131-0FCAD7E9BC4C}</author>
    <author>tc={1AF2A3DE-D35F-EB47-AFBD-75149B6B9FE2}</author>
    <author>tc={BC5AF58C-F561-7247-9CFB-04E5058DD3DC}</author>
    <author>tc={36FF8F03-BE36-044E-A2B4-2B431D06E41D}</author>
    <author>tc={7B68A362-7B76-434B-BFD0-A2F7CA2AC637}</author>
    <author>tc={FF292B9F-1E01-E34E-A747-3541FA0A5371}</author>
    <author>tc={3123E8BE-7986-AD4D-B4C9-243E4C1DD7DB}</author>
    <author>tc={77D9B619-71C5-7B47-B819-A7E9DF489883}</author>
    <author>tc={C1753804-1CFA-3644-8E2D-C618E2F4DC7B}</author>
    <author>tc={84A853C1-89C9-2D4A-AD93-305C2DE137E5}</author>
    <author>tc={FCB9CAEF-20A3-4A47-B3E4-3F3EBE1E184F}</author>
    <author>tc={66D433D1-17AC-5C4E-A718-3C2BBBF959E3}</author>
    <author>tc={3842A6F0-B4D8-4F4B-87FB-645AD5E3C65F}</author>
    <author>tc={305D5492-F321-714D-A21D-6210DC81C7EE}</author>
    <author>tc={5DD2A583-1548-6A42-84E0-22154CEED411}</author>
    <author>tc={75AA367A-D0A7-894D-AAB2-1EF27F6D7F72}</author>
    <author>tc={8238A32B-3134-C04C-914D-0FF5BB039D57}</author>
    <author>tc={FDD2124B-A208-6746-BFD6-2123CE57EC46}</author>
    <author>tc={66075BBC-5746-4B46-87A7-20469284C54B}</author>
    <author>tc={212E1CD9-1EBF-CB4B-B86B-1B8F533CD552}</author>
    <author>tc={D2CE71E1-0408-9948-8230-655188973603}</author>
    <author>tc={FB5647B5-4B81-E545-A197-99F6D8EA6A38}</author>
    <author>tc={8AEC318D-3DB6-AD4B-9540-904755E8F425}</author>
    <author>tc={E922DCB3-34BE-4D40-81C6-65D1390A9545}</author>
    <author>tc={294BBBFB-7992-3044-9500-68DB3EC65D6F}</author>
  </authors>
  <commentList>
    <comment ref="G20" authorId="0" shapeId="0" xr:uid="{8F693F86-F05C-C741-995C-7E04C7C125C7}">
      <text>
        <t>[Threaded comment]
Your version of Excel allows you to read this threaded comment; however, any edits to it will get removed if the file is opened in a newer version of Excel. Learn more: https://go.microsoft.com/fwlink/?linkid=870924
Comment:
    Hint:  Start by calculating total sales.  Then your formula here should include reference to the assumption box to the left and the total sales.</t>
      </text>
    </comment>
    <comment ref="G35" authorId="1" shapeId="0" xr:uid="{73B5FBD6-AA4C-9A4C-8131-0FCAD7E9BC4C}">
      <text>
        <t>[Threaded comment]
Your version of Excel allows you to read this threaded comment; however, any edits to it will get removed if the file is opened in a newer version of Excel. Learn more: https://go.microsoft.com/fwlink/?linkid=870924
Comment:
    Hint:  Think about the relationship of Gross Profit to Sales and COGS.  Use the space below to show how you calculate this number.  Then link this cell to your calculation below.</t>
      </text>
    </comment>
    <comment ref="H35" authorId="2" shapeId="0" xr:uid="{1AF2A3DE-D35F-EB47-AFBD-75149B6B9FE2}">
      <text>
        <t>[Threaded comment]
Your version of Excel allows you to read this threaded comment; however, any edits to it will get removed if the file is opened in a newer version of Excel. Learn more: https://go.microsoft.com/fwlink/?linkid=870924
Comment:
    Hint:  Hint:  Think about the relationship of Gross Profit to Sales and COGS.  Hint:  Use the space below to show how you calculate this number.  Then link this cell to your calculation below.</t>
      </text>
    </comment>
    <comment ref="G36" authorId="3" shapeId="0" xr:uid="{BC5AF58C-F561-7247-9CFB-04E5058DD3DC}">
      <text>
        <t>[Threaded comment]
Your version of Excel allows you to read this threaded comment; however, any edits to it will get removed if the file is opened in a newer version of Excel. Learn more: https://go.microsoft.com/fwlink/?linkid=870924
Comment:
    Hint:  Use the space below show how you calculate this number.  Then link this cell to your calculation below.</t>
      </text>
    </comment>
    <comment ref="H36" authorId="4" shapeId="0" xr:uid="{36FF8F03-BE36-044E-A2B4-2B431D06E41D}">
      <text>
        <t xml:space="preserve">[Threaded comment]
Your version of Excel allows you to read this threaded comment; however, any edits to it will get removed if the file is opened in a newer version of Excel. Learn more: https://go.microsoft.com/fwlink/?linkid=870924
Comment:
    Hint:  Use the space below to show how you calculate this number.  Then link this cell to your calculation below.
</t>
      </text>
    </comment>
    <comment ref="G38" authorId="5" shapeId="0" xr:uid="{7B68A362-7B76-434B-BFD0-A2F7CA2AC637}">
      <text>
        <t xml:space="preserve">[Threaded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
</t>
      </text>
    </comment>
    <comment ref="H38" authorId="6" shapeId="0" xr:uid="{FF292B9F-1E01-E34E-A747-3541FA0A5371}">
      <text>
        <t>[Threaded comment]
Your version of Excel allows you to read this threaded comment; however, any edits to it will get removed if the file is opened in a newer version of Excel. Learn more: https://go.microsoft.com/fwlink/?linkid=870924
Comment:
    Enter beginning inventory as a negative.  This is the inventory you already have so will not need to purchase it.  Deduct it from the total needed to determine what must be purchased.</t>
      </text>
    </comment>
    <comment ref="F45" authorId="7" shapeId="0" xr:uid="{3123E8BE-7986-AD4D-B4C9-243E4C1DD7DB}">
      <text>
        <t>[Threaded comment]
Your version of Excel allows you to read this threaded comment; however, any edits to it will get removed if the file is opened in a newer version of Excel. Learn more: https://go.microsoft.com/fwlink/?linkid=870924
Comment:
    Hint:  Sales % is 100%.  If you know GP, you can calculate tge COGS %.</t>
      </text>
    </comment>
    <comment ref="G69" authorId="8" shapeId="0" xr:uid="{77D9B619-71C5-7B47-B819-A7E9DF489883}">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69" authorId="9" shapeId="0" xr:uid="{C1753804-1CFA-3644-8E2D-C618E2F4DC7B}">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0" authorId="10" shapeId="0" xr:uid="{84A853C1-89C9-2D4A-AD93-305C2DE137E5}">
      <text>
        <t>[Threaded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t>
      </text>
    </comment>
    <comment ref="H70" authorId="11" shapeId="0" xr:uid="{FCB9CAEF-20A3-4A47-B3E4-3F3EBE1E184F}">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G73" authorId="12" shapeId="0" xr:uid="{66D433D1-17AC-5C4E-A718-3C2BBBF959E3}">
      <text>
        <t>[Threaded comment]
Your version of Excel allows you to read this threaded comment; however, any edits to it will get removed if the file is opened in a newer version of Excel. Learn more: https://go.microsoft.com/fwlink/?linkid=870924
Comment:
    Hint:  In accrual accounting, expenses are recognized when they are in incurred (i.e. used) not necessarily when the cash is paid.</t>
      </text>
    </comment>
    <comment ref="G74" authorId="13" shapeId="0" xr:uid="{3842A6F0-B4D8-4F4B-87FB-645AD5E3C65F}">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H74" authorId="14" shapeId="0" xr:uid="{305D5492-F321-714D-A21D-6210DC81C7EE}">
      <text>
        <t xml:space="preserve">[Threaded comment]
Your version of Excel allows you to read this threaded comment; however, any edits to it will get removed if the file is opened in a newer version of Excel. Learn more: https://go.microsoft.com/fwlink/?linkid=870924
Comment:
    Hint:  Use the workspace below to perform your calculation.  Then link this cell to your calculated number.
</t>
      </text>
    </comment>
    <comment ref="D95" authorId="15" shapeId="0" xr:uid="{5DD2A583-1548-6A42-84E0-22154CEED411}">
      <text>
        <t>[Threaded comment]
Your version of Excel allows you to read this threaded comment; however, any edits to it will get removed if the file is opened in a newer version of Excel. Learn more: https://go.microsoft.com/fwlink/?linkid=870924
Comment:
    Hint:  Bad Debt Expense is a % of credit sales that is not expected to be collected.  Cash sales are entirely collected but some sales on credit will not be collected.</t>
      </text>
    </comment>
    <comment ref="G152" authorId="16" shapeId="0" xr:uid="{75AA367A-D0A7-894D-AAB2-1EF27F6D7F72}">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 of commissions.  Then link this cell to the calculated commission expense below.</t>
      </text>
    </comment>
    <comment ref="G153" authorId="17" shapeId="0" xr:uid="{8238A32B-3134-C04C-914D-0FF5BB039D57}">
      <text>
        <t>[Threaded comment]
Your version of Excel allows you to read this threaded comment; however, any edits to it will get removed if the file is opened in a newer version of Excel. Learn more: https://go.microsoft.com/fwlink/?linkid=870924
Comment:
    Hint:  Use the space below to explain calculations performed in calculating the lease.  Then reference this cell to the calculation below..</t>
      </text>
    </comment>
    <comment ref="C160" authorId="18" shapeId="0" xr:uid="{FDD2124B-A208-6746-BFD6-2123CE57EC46}">
      <text>
        <t xml:space="preserve">[Threaded comment]
Your version of Excel allows you to read this threaded comment; however, any edits to it will get removed if the file is opened in a newer version of Excel. Learn more: https://go.microsoft.com/fwlink/?linkid=870924
Comment:
    Hint:  This is a cash payments budget. Focus on when the cash is paid out.   </t>
      </text>
    </comment>
    <comment ref="G179" authorId="19" shapeId="0" xr:uid="{66075BBC-5746-4B46-87A7-20469284C54B}">
      <text>
        <t>[Threaded comment]
Your version of Excel allows you to read this threaded comment; however, any edits to it will get removed if the file is opened in a newer version of Excel. Learn more: https://go.microsoft.com/fwlink/?linkid=870924
Comment:
    Hint:  The starting cash is given above.</t>
      </text>
    </comment>
    <comment ref="G181" authorId="20" shapeId="0" xr:uid="{212E1CD9-1EBF-CB4B-B86B-1B8F533CD552}">
      <text>
        <t>[Threaded comment]
Your version of Excel allows you to read this threaded comment; however, any edits to it will get removed if the file is opened in a newer version of Excel. Learn more: https://go.microsoft.com/fwlink/?linkid=870924
Comment:
    Hint: Enter total expected cash payments as a negative number.</t>
      </text>
    </comment>
    <comment ref="H181" authorId="21" shapeId="0" xr:uid="{D2CE71E1-0408-9948-8230-655188973603}">
      <text>
        <t>[Threaded comment]
Your version of Excel allows you to read this threaded comment; however, any edits to it will get removed if the file is opened in a newer version of Excel. Learn more: https://go.microsoft.com/fwlink/?linkid=870924
Comment:
    Hint:  Enter payments as a negative number.</t>
      </text>
    </comment>
    <comment ref="G183" authorId="22" shapeId="0" xr:uid="{FB5647B5-4B81-E545-A197-99F6D8EA6A38}">
      <text>
        <t>[Threaded comment]
Your version of Excel allows you to read this threaded comment; however, any edits to it will get removed if the file is opened in a newer version of Excel. Learn more: https://go.microsoft.com/fwlink/?linkid=870924
Comment:
    Hint:  Is there enough cash to meet company needs?  If yes, then no need to borrow.  If no, then need a loan.</t>
      </text>
    </comment>
    <comment ref="H183" authorId="23" shapeId="0" xr:uid="{8AEC318D-3DB6-AD4B-9540-904755E8F425}">
      <text>
        <t>[Threaded comment]
Your version of Excel allows you to read this threaded comment; however, any edits to it will get removed if the file is opened in a newer version of Excel. Learn more: https://go.microsoft.com/fwlink/?linkid=870924
Comment:
    Hint:  Is there enough cash?  If not, then they need to borrow enough to get the level of cash they need.  A company will most likely borrow this from a line of credit.</t>
      </text>
    </comment>
    <comment ref="G184" authorId="24" shapeId="0" xr:uid="{E922DCB3-34BE-4D40-81C6-65D1390A9545}">
      <text>
        <t>[Threaded comment]
Your version of Excel allows you to read this threaded comment; however, any edits to it will get removed if the file is opened in a newer version of Excel. Learn more: https://go.microsoft.com/fwlink/?linkid=870924
Comment:
    Hint: Is there any outstanding loan balance?  If yes, the next question is whether there is extra cash.  If there is extra cash, then pay down the loan.  In this case, there is no outstanding loan to pay.</t>
      </text>
    </comment>
    <comment ref="G185" authorId="25" shapeId="0" xr:uid="{294BBBFB-7992-3044-9500-68DB3EC65D6F}">
      <text>
        <t>[Threaded comment]
Your version of Excel allows you to read this threaded comment; however, any edits to it will get removed if the file is opened in a newer version of Excel. Learn more: https://go.microsoft.com/fwlink/?linkid=870924
Comment:
    Hint:  If there had been a loan balance from the previous period, then the company would owe interest on having borrowed that money.</t>
      </text>
    </comment>
  </commentList>
</comments>
</file>

<file path=xl/sharedStrings.xml><?xml version="1.0" encoding="utf-8"?>
<sst xmlns="http://schemas.openxmlformats.org/spreadsheetml/2006/main" count="485" uniqueCount="265">
  <si>
    <t>Sunday</t>
  </si>
  <si>
    <t>Inventory</t>
  </si>
  <si>
    <t>Decrease</t>
  </si>
  <si>
    <t xml:space="preserve">     d.  The company paid off a significant amount of debt in 2022.</t>
  </si>
  <si>
    <t xml:space="preserve">     c.  The company may have experienced a net loss in 2022.</t>
  </si>
  <si>
    <t xml:space="preserve">     b.  The company may have purchased too much merchandise this past year.</t>
  </si>
  <si>
    <t xml:space="preserve">     a.  The company may be growing as they appear to be building new stores.</t>
  </si>
  <si>
    <t>b</t>
  </si>
  <si>
    <t>Buildings and improvements</t>
  </si>
  <si>
    <t>Property and equipment</t>
  </si>
  <si>
    <t>Respond to the following questions:</t>
  </si>
  <si>
    <t>Total liabilities and shareholders' investment</t>
  </si>
  <si>
    <t>Total shareholders' investment</t>
  </si>
  <si>
    <t>Accumulated other comprehensive loss</t>
  </si>
  <si>
    <t>Retained earnings</t>
  </si>
  <si>
    <t>Additional paid-in capital</t>
  </si>
  <si>
    <t>Common stock</t>
  </si>
  <si>
    <t>Shareholders' investment</t>
  </si>
  <si>
    <t>Total noncurrent liabilities</t>
  </si>
  <si>
    <t>Other noncurrent liabilities</t>
  </si>
  <si>
    <t>Deferred income taxes</t>
  </si>
  <si>
    <t>Noncurrent operating lease liabilities</t>
  </si>
  <si>
    <t>Long-term debt and other borrowings</t>
  </si>
  <si>
    <t>Total current liabilities</t>
  </si>
  <si>
    <t>Current portion of long-term debt and other borrowings</t>
  </si>
  <si>
    <t>Accrued and other current liabilities</t>
  </si>
  <si>
    <t>Accounts payable</t>
  </si>
  <si>
    <t>Liabilities and shareholders' investment</t>
  </si>
  <si>
    <t>Total assets</t>
  </si>
  <si>
    <t>Other noncurrent assets</t>
  </si>
  <si>
    <t>Operating lease assets</t>
  </si>
  <si>
    <t>Property and equipment, net</t>
  </si>
  <si>
    <t>Accumulated depreciation</t>
  </si>
  <si>
    <t>Construction-in-progress</t>
  </si>
  <si>
    <t>Computer hardware and software</t>
  </si>
  <si>
    <t>Fixtures and equipment</t>
  </si>
  <si>
    <t>Land</t>
  </si>
  <si>
    <t>Total current assets</t>
  </si>
  <si>
    <t>Other current assets</t>
  </si>
  <si>
    <t>Cash and cash equivalents</t>
  </si>
  <si>
    <t>Assets</t>
  </si>
  <si>
    <t>% Change</t>
  </si>
  <si>
    <t>Change</t>
  </si>
  <si>
    <t>%</t>
  </si>
  <si>
    <t>January 30, 2021</t>
  </si>
  <si>
    <t>January 29, 2022</t>
  </si>
  <si>
    <t>(millions, except footnotes)</t>
  </si>
  <si>
    <t>Consolidated Statements of Financial Position</t>
  </si>
  <si>
    <t>Target Corporation</t>
  </si>
  <si>
    <t>Loan</t>
  </si>
  <si>
    <t xml:space="preserve">The scenario below includes data for multiple loans. Use the data to find out more information about the loan payments for each account. </t>
  </si>
  <si>
    <t>Whenever possible, reference values instead of hardcoding or typing them.  E.g., reference 12 instead of typing it</t>
  </si>
  <si>
    <t>Checklist</t>
  </si>
  <si>
    <r>
      <rPr>
        <b/>
        <sz val="12"/>
        <color theme="1"/>
        <rFont val="Aptos Narrow"/>
        <family val="2"/>
        <scheme val="minor"/>
      </rPr>
      <t>Annual Loan Payment</t>
    </r>
    <r>
      <rPr>
        <sz val="12"/>
        <color theme="1"/>
        <rFont val="Aptos Narrow"/>
        <family val="2"/>
        <scheme val="minor"/>
      </rPr>
      <t>:  Use the formula above to compute the annual loan payment.  Format answers as accounting with 0 decimal places</t>
    </r>
  </si>
  <si>
    <r>
      <t xml:space="preserve">Note that the interest rate is </t>
    </r>
    <r>
      <rPr>
        <i/>
        <sz val="12"/>
        <color theme="1"/>
        <rFont val="Aptos Narrow"/>
        <family val="2"/>
        <scheme val="minor"/>
      </rPr>
      <t>i</t>
    </r>
    <r>
      <rPr>
        <sz val="12"/>
        <color theme="1"/>
        <rFont val="Aptos Narrow"/>
        <family val="2"/>
        <scheme val="minor"/>
      </rPr>
      <t xml:space="preserve">, the amount borrowed is </t>
    </r>
    <r>
      <rPr>
        <i/>
        <sz val="12"/>
        <color theme="1"/>
        <rFont val="Aptos Narrow"/>
        <family val="2"/>
        <scheme val="minor"/>
      </rPr>
      <t>p</t>
    </r>
    <r>
      <rPr>
        <sz val="12"/>
        <color theme="1"/>
        <rFont val="Aptos Narrow"/>
        <family val="2"/>
        <scheme val="minor"/>
      </rPr>
      <t xml:space="preserve">, and the number of payments is </t>
    </r>
    <r>
      <rPr>
        <i/>
        <sz val="12"/>
        <color theme="1"/>
        <rFont val="Aptos Narrow"/>
        <family val="2"/>
        <scheme val="minor"/>
      </rPr>
      <t>n</t>
    </r>
    <r>
      <rPr>
        <sz val="12"/>
        <color theme="1"/>
        <rFont val="Aptos Narrow"/>
        <family val="2"/>
        <scheme val="minor"/>
      </rPr>
      <t>.  Also note that the equation is asking for negative n (-n)</t>
    </r>
  </si>
  <si>
    <r>
      <rPr>
        <b/>
        <sz val="12"/>
        <color theme="1"/>
        <rFont val="Aptos Narrow"/>
        <family val="2"/>
        <scheme val="minor"/>
      </rPr>
      <t>Monthly Loan Payment</t>
    </r>
    <r>
      <rPr>
        <sz val="12"/>
        <color theme="1"/>
        <rFont val="Aptos Narrow"/>
        <family val="2"/>
        <scheme val="minor"/>
      </rPr>
      <t>:  Compute the monthly payment.  Reference 12 instead of typing it. Format answer as accounting with 0 decimal places</t>
    </r>
  </si>
  <si>
    <r>
      <rPr>
        <b/>
        <sz val="12"/>
        <color theme="1"/>
        <rFont val="Aptos Narrow"/>
        <family val="2"/>
        <scheme val="minor"/>
      </rPr>
      <t>Average Monthly Loan Payment:</t>
    </r>
    <r>
      <rPr>
        <sz val="12"/>
        <color theme="1"/>
        <rFont val="Aptos Narrow"/>
        <family val="2"/>
        <scheme val="minor"/>
      </rPr>
      <t xml:space="preserve"> Use Excel functions to compute the average Monthly Loan Payment.  Use shortcut keys to select the data.</t>
    </r>
  </si>
  <si>
    <r>
      <rPr>
        <b/>
        <sz val="12"/>
        <color theme="1"/>
        <rFont val="Aptos Narrow"/>
        <family val="2"/>
        <scheme val="minor"/>
      </rPr>
      <t>Above / Below Monthly Average:</t>
    </r>
    <r>
      <rPr>
        <sz val="12"/>
        <color theme="1"/>
        <rFont val="Aptos Narrow"/>
        <family val="2"/>
        <scheme val="minor"/>
      </rPr>
      <t xml:space="preserve"> If an account's monthly loan payment is above the average, display 'Above'.  If not, display 'Below'. </t>
    </r>
  </si>
  <si>
    <t>Interest Rate (i)</t>
  </si>
  <si>
    <t>Number of Months</t>
  </si>
  <si>
    <t>Average Monthly Loan Payment</t>
  </si>
  <si>
    <t>***To type exponents in Excel:  Use the carrot symbol (^) before the number***</t>
  </si>
  <si>
    <t>Account ID</t>
  </si>
  <si>
    <t>(P)
Amount Borrowed</t>
  </si>
  <si>
    <t>(n)
Number of Payments</t>
  </si>
  <si>
    <t xml:space="preserve">Annual Loan Payment </t>
  </si>
  <si>
    <t>Monthly Loan Payment</t>
  </si>
  <si>
    <t>Above / Below Monthly Average</t>
  </si>
  <si>
    <t>Order #</t>
  </si>
  <si>
    <t>Product</t>
  </si>
  <si>
    <t>Category</t>
  </si>
  <si>
    <t>Day</t>
  </si>
  <si>
    <t>Units Sold</t>
  </si>
  <si>
    <t>Unit Price</t>
  </si>
  <si>
    <t>Total Sale</t>
  </si>
  <si>
    <t>Cost per Unit</t>
  </si>
  <si>
    <t>Baguette</t>
  </si>
  <si>
    <t>Bread</t>
  </si>
  <si>
    <t>Paper Goods</t>
  </si>
  <si>
    <t>Choc Chip Cookie</t>
  </si>
  <si>
    <t>Snack</t>
  </si>
  <si>
    <t>Pie</t>
  </si>
  <si>
    <t>Pastry</t>
  </si>
  <si>
    <t>Croissant</t>
  </si>
  <si>
    <t>Rosemary</t>
  </si>
  <si>
    <t>Bread Special</t>
  </si>
  <si>
    <t>Tart</t>
  </si>
  <si>
    <t>Sum of Total Sale</t>
  </si>
  <si>
    <t>Total Sales</t>
  </si>
  <si>
    <t>Serving Bundle</t>
  </si>
  <si>
    <t>Sugar Cookie</t>
  </si>
  <si>
    <t>Sourdough</t>
  </si>
  <si>
    <t>Whole Wheat</t>
  </si>
  <si>
    <t>Brownie</t>
  </si>
  <si>
    <t>Grand Total</t>
  </si>
  <si>
    <t>Monday</t>
  </si>
  <si>
    <t>Tuesday</t>
  </si>
  <si>
    <t>Order Profit</t>
  </si>
  <si>
    <t>Bakery</t>
  </si>
  <si>
    <t>Reference all values</t>
  </si>
  <si>
    <t>*Note that food is not taxable in this bakery's state</t>
  </si>
  <si>
    <t xml:space="preserve">This scenario includes bakery order data. </t>
  </si>
  <si>
    <t>Amount</t>
  </si>
  <si>
    <t>% of Assets</t>
  </si>
  <si>
    <t>Asset Category</t>
  </si>
  <si>
    <t>Create copyable formulas where possible</t>
  </si>
  <si>
    <t>Use formulas/functions to calculate the missing values in the gray cells to complete the Assets table</t>
  </si>
  <si>
    <t>Total Order Profit</t>
  </si>
  <si>
    <r>
      <t xml:space="preserve">3.  What does the answer from the #2 tell us about Target? </t>
    </r>
    <r>
      <rPr>
        <i/>
        <sz val="10"/>
        <color theme="1"/>
        <rFont val="Aptos Narrow (Body)"/>
      </rPr>
      <t>(select from dropdown options)</t>
    </r>
  </si>
  <si>
    <t xml:space="preserve">Use the data to calculate the necessary values in the table. Reference all values. </t>
  </si>
  <si>
    <t>4.  Did the company's liquidity increase or decrease in the most recent year?</t>
  </si>
  <si>
    <t>5.  Did the company's solvency increase or decrease in the most recent year?</t>
  </si>
  <si>
    <t>End Cash Balalnce</t>
  </si>
  <si>
    <t xml:space="preserve"> - interest payments</t>
  </si>
  <si>
    <t xml:space="preserve"> -loan repayments</t>
  </si>
  <si>
    <t xml:space="preserve"> +new loans</t>
  </si>
  <si>
    <t>Ending Cash Balalnce before Financing</t>
  </si>
  <si>
    <t xml:space="preserve"> - Payments</t>
  </si>
  <si>
    <t xml:space="preserve"> + Collections</t>
  </si>
  <si>
    <t>Beginning Cash Balance</t>
  </si>
  <si>
    <t>November</t>
  </si>
  <si>
    <t>October</t>
  </si>
  <si>
    <t>Sept.</t>
  </si>
  <si>
    <t>…</t>
  </si>
  <si>
    <t>Combined Cash Budget</t>
  </si>
  <si>
    <t>The company wants to maintain a $10,000 cash balance at month end.  Say the company plans to start October with $12,000 of cash and has no outstanding debt.</t>
  </si>
  <si>
    <t>What we know</t>
  </si>
  <si>
    <t>Prepare the Combined Cash Budget</t>
  </si>
  <si>
    <t>Total</t>
  </si>
  <si>
    <t>base</t>
  </si>
  <si>
    <t>Oct Sales</t>
  </si>
  <si>
    <t>Sept Sales</t>
  </si>
  <si>
    <t>Lease:</t>
  </si>
  <si>
    <t>Nov Commissions</t>
  </si>
  <si>
    <t>October Sales</t>
  </si>
  <si>
    <t>Oct Commissions</t>
  </si>
  <si>
    <t>Commissions:</t>
  </si>
  <si>
    <t>Use this space for any necessary calculations.  Someone looking at a printout of this file should be able to understand how you arrived at your calculation.  They would not see your formula(s).</t>
  </si>
  <si>
    <t xml:space="preserve">   Total Cash Payments</t>
  </si>
  <si>
    <t>Inventory Purchases</t>
  </si>
  <si>
    <t>Insurance</t>
  </si>
  <si>
    <t>Utilities</t>
  </si>
  <si>
    <t>Lease</t>
  </si>
  <si>
    <t>Commissions</t>
  </si>
  <si>
    <t>Salaries</t>
  </si>
  <si>
    <t>Capital Expenditures</t>
  </si>
  <si>
    <t>Sept</t>
  </si>
  <si>
    <t>Cash Payments for</t>
  </si>
  <si>
    <t>You now have all the information necessary to prepare the cash payments budget.  Look at actual timing of cash outflows.</t>
  </si>
  <si>
    <t>Prepare the Cash Payments Budget for October and November</t>
  </si>
  <si>
    <t xml:space="preserve">   Computers</t>
  </si>
  <si>
    <t>CapEx Budget</t>
  </si>
  <si>
    <t>University Apparel plans to spend $35,000 in November to buy new computers.</t>
  </si>
  <si>
    <t>What we know:</t>
  </si>
  <si>
    <t>Prepare the Capital Expenditures Budget</t>
  </si>
  <si>
    <t>Total Cash Collections</t>
  </si>
  <si>
    <t>Credit Sales - 2 months ago</t>
  </si>
  <si>
    <t>Credit Sales - prior month</t>
  </si>
  <si>
    <t>Cash Sales</t>
  </si>
  <si>
    <t xml:space="preserve">October </t>
  </si>
  <si>
    <t>Cash Collections From</t>
  </si>
  <si>
    <t>Collect in Oct (18%)</t>
  </si>
  <si>
    <t>Collect in Sept (80%)</t>
  </si>
  <si>
    <t>Credit Sales (70%)</t>
  </si>
  <si>
    <t>August Sales</t>
  </si>
  <si>
    <t>Collect in Nov (18%)</t>
  </si>
  <si>
    <t>Colect in Dec (18%)</t>
  </si>
  <si>
    <t>Collect in Oct (80%)</t>
  </si>
  <si>
    <t>Collect in November (80%)</t>
  </si>
  <si>
    <t>Credit sales (70%)</t>
  </si>
  <si>
    <t>October Credit Sales</t>
  </si>
  <si>
    <t>September Sales</t>
  </si>
  <si>
    <t>Use this space for calculations and link final amounts into the table below.</t>
  </si>
  <si>
    <t xml:space="preserve">two months after sale, and the remaining 2% are never collected. </t>
  </si>
  <si>
    <t>Historically, 80% of credit sales are collected in the month after sale, 18% are collected</t>
  </si>
  <si>
    <t>Contribution Margin, Gross Profit, Less COGS, Less Fixed Costs, Less Operating Expenses, Less Variable Costs, Operating Income, Sales revenue</t>
  </si>
  <si>
    <t/>
  </si>
  <si>
    <t>Sales revenue</t>
  </si>
  <si>
    <t xml:space="preserve">Prepare the Cash Collections budget for October and November </t>
  </si>
  <si>
    <t>Operating Income</t>
  </si>
  <si>
    <t>Less Variable Costs</t>
  </si>
  <si>
    <t xml:space="preserve"> </t>
  </si>
  <si>
    <t>When the box below turns green you have picked the correct traditional format above</t>
  </si>
  <si>
    <t>Less Operating Expenses</t>
  </si>
  <si>
    <t>Less Fixed Costs</t>
  </si>
  <si>
    <t>&lt;Use Dropdown</t>
  </si>
  <si>
    <t>Less COGS</t>
  </si>
  <si>
    <t>Gross Profit</t>
  </si>
  <si>
    <t>Contribution Margin</t>
  </si>
  <si>
    <t>Note:  Contribution Margin Format would be as follows.  Students need to know the difference so maybe drop-downs that can contain all these.</t>
  </si>
  <si>
    <t>Dec</t>
  </si>
  <si>
    <t xml:space="preserve"> ….</t>
  </si>
  <si>
    <t>Budgeted Income Statement</t>
  </si>
  <si>
    <t>Delete this after building it into dropdown.</t>
  </si>
  <si>
    <t>NOTE:: Be sure to use the dropdown list to select each line item.</t>
  </si>
  <si>
    <t>Prepare the company's budgeted income statement, in a traditional format (not contribution margin format).</t>
  </si>
  <si>
    <t>credit sales</t>
  </si>
  <si>
    <t>Bad Debt Expense:</t>
  </si>
  <si>
    <t>Monthly</t>
  </si>
  <si>
    <t>months</t>
  </si>
  <si>
    <t>Annual</t>
  </si>
  <si>
    <t>Depreciation:</t>
  </si>
  <si>
    <t>+BASE</t>
  </si>
  <si>
    <t>Current Sales</t>
  </si>
  <si>
    <t>Lease Expense:</t>
  </si>
  <si>
    <t>Perform your calculations in the white space below.  Labeling the components will help you know how you got to the answer.  Then link the calculated answers into the related cells above.  Someone looking at a printout of this file should be able to understand how you arrived at your calculation.  They would not see your formula.</t>
  </si>
  <si>
    <t xml:space="preserve">    Total Operating Expenses</t>
  </si>
  <si>
    <t>Bad Debt Expense</t>
  </si>
  <si>
    <t>Insurance Expense</t>
  </si>
  <si>
    <t>Utility Expense</t>
  </si>
  <si>
    <t>Depreciation Expense</t>
  </si>
  <si>
    <t>Lease Exepnse</t>
  </si>
  <si>
    <t>Commission Expense</t>
  </si>
  <si>
    <t>Salaries Expense</t>
  </si>
  <si>
    <t>Dec…</t>
  </si>
  <si>
    <t>Operating Expenses</t>
  </si>
  <si>
    <t>Operating Expenses:</t>
  </si>
  <si>
    <r>
      <t xml:space="preserve">Use </t>
    </r>
    <r>
      <rPr>
        <b/>
        <sz val="11"/>
        <color theme="1"/>
        <rFont val="Aptos Narrow"/>
        <family val="2"/>
        <scheme val="minor"/>
      </rPr>
      <t>accrual accounting</t>
    </r>
    <r>
      <rPr>
        <sz val="12"/>
        <color theme="1"/>
        <rFont val="Aptos Narrow"/>
        <family val="2"/>
        <scheme val="minor"/>
      </rPr>
      <t xml:space="preserve"> to build the Operating Expense Budget.  Remember in accrual accounting, expenses are recognized in the period "incurred."  Expenses are matched to the period their related revenue is recognized and not necessarily when the cash is paid.</t>
    </r>
  </si>
  <si>
    <t xml:space="preserve">
• Salaries and wages ($20,000 per month):  paid on the last day of the month.
•Sales commission (10% of current month sales):  paid on the 10th of the following month
• Lease expense ($10,000 per month+ 2% of current month sales): The $10,000 paid on the 1st of
the current month; The 2% is paid on the 10th of the following month
• Depreciation on equipment &amp; leasehold improvement ($48,000 per year)-straight line
• Utilities- ($2,000 in Sept., $3k in Oct; $4k in Nov):   paid on the 15th of the next month
• Insurance ($12,000 per year):  paid semi-annually, in November and May
• Bad debt expense:2% of credit sales. Bad debt expense is recognized in the month of sale. </t>
  </si>
  <si>
    <t>Prepare the Operating Expense Budget:</t>
  </si>
  <si>
    <t>Desired Ending Inventory</t>
  </si>
  <si>
    <t>Base amount</t>
  </si>
  <si>
    <t>next months COGS</t>
  </si>
  <si>
    <r>
      <rPr>
        <b/>
        <sz val="11"/>
        <color theme="1"/>
        <rFont val="Aptos Narrow"/>
        <family val="2"/>
        <scheme val="minor"/>
      </rPr>
      <t xml:space="preserve">End Inventory Calculations </t>
    </r>
    <r>
      <rPr>
        <sz val="12"/>
        <color theme="1"/>
        <rFont val="Aptos Narrow"/>
        <family val="2"/>
        <scheme val="minor"/>
      </rPr>
      <t>(use the white space to do your calculations and link your final calcuation to the appropriate cell above.)  Someone looking at a printout of this file should be able to understand how you arrived at your calculation.  They would not see your formula.</t>
    </r>
  </si>
  <si>
    <t>COGS</t>
  </si>
  <si>
    <t>Sales</t>
  </si>
  <si>
    <t>Assumption %</t>
  </si>
  <si>
    <t>COGS calculations:</t>
  </si>
  <si>
    <t>Workspace:  Use the white space below to calculate COGS and Desired Ending Inventory.  Link the answer to the cell above in the budget.  Some hints have been provided to coach you through October.  Calculate November and December and link your final calculation to the appropriate cell above.</t>
  </si>
  <si>
    <t>Amount of Inventory to Purchase</t>
  </si>
  <si>
    <t>-Beginning Inventory (have)</t>
  </si>
  <si>
    <t>Total needed</t>
  </si>
  <si>
    <t>+Desired Ending Inventory</t>
  </si>
  <si>
    <t>COGS, Inventory, Purchases Budget</t>
  </si>
  <si>
    <t>All purchases are paid for in the month of purchase.</t>
  </si>
  <si>
    <t xml:space="preserve">Like most companies, University Apparel maintains some safety stock. The company wants to maintain an ending inventory equal to $40,000 plus 10% of the next month's cost of goods sold. REMEMBER: inventory is carried at COST, not at its sales price. </t>
  </si>
  <si>
    <t>Prices are set to achieve 40% gross profit</t>
  </si>
  <si>
    <t>Prepare the Cost of Goods Sold, Inventory, and Purchases Budget.  Use the space below for calculations (HINT:  See format of schedule in class notes.)</t>
  </si>
  <si>
    <t>Credit Sales</t>
  </si>
  <si>
    <t xml:space="preserve">Cash Sales </t>
  </si>
  <si>
    <t>Sales Budget</t>
  </si>
  <si>
    <t>Cash sales represent 30% of total sales. (These sales are made COD -"collect on delivery"). All other sales are made on account and carry payment terms of net 30 days.</t>
  </si>
  <si>
    <t>August sales totaled $250,000 while September sales totaled $200,000. In October, sales are expected to increase 8% above their September level. November's sales should be 10% above the October level. December sales are expected to be $250,000.</t>
  </si>
  <si>
    <t>Company Details (What we know):</t>
  </si>
  <si>
    <t>Prepare the Sales Budget for October and November</t>
  </si>
  <si>
    <t>University Apparel is a wholesaler that sells college sweatshirts to university bookstores.</t>
  </si>
  <si>
    <t>Company:</t>
  </si>
  <si>
    <t>Comprehensive Budgeting Example for a Merchandiser</t>
  </si>
  <si>
    <t>Note:  A special thank you to Karen Bruan who created the original version of this activity.  It was converted for use with Excel and Scoreboard.</t>
  </si>
  <si>
    <t>White space where available, should be used for documenting calculations.</t>
  </si>
  <si>
    <t>Use empty white cells below or to the right to calculate the appropriate ratios to answer questions 4 and 5</t>
  </si>
  <si>
    <t>1. Perform Horizontal Analysis</t>
  </si>
  <si>
    <t>2. Perform Vertical Analysis</t>
  </si>
  <si>
    <r>
      <t xml:space="preserve">3. </t>
    </r>
    <r>
      <rPr>
        <sz val="11"/>
        <color theme="1"/>
        <rFont val="Aptos Narrow (Body)"/>
      </rPr>
      <t>R</t>
    </r>
    <r>
      <rPr>
        <sz val="11"/>
        <color theme="1"/>
        <rFont val="Aptos Narrow"/>
        <family val="2"/>
        <scheme val="minor"/>
      </rPr>
      <t>espond to the questions below the balance sheet</t>
    </r>
  </si>
  <si>
    <t>4. Make sure all formatting is appropriate. Dollar amounts with no decimals, percentages should be shown with 1 decimal.</t>
  </si>
  <si>
    <t>Find Target's balance sheet below</t>
  </si>
  <si>
    <t>Financial Analysis Balance Sheet</t>
  </si>
  <si>
    <t>Oct</t>
  </si>
  <si>
    <t>Nov</t>
  </si>
  <si>
    <t>Recreate the example pivot table.</t>
  </si>
  <si>
    <r>
      <t xml:space="preserve">1.  What </t>
    </r>
    <r>
      <rPr>
        <b/>
        <sz val="11"/>
        <color theme="1"/>
        <rFont val="Aptos Narrow"/>
        <scheme val="minor"/>
      </rPr>
      <t>%</t>
    </r>
    <r>
      <rPr>
        <sz val="11"/>
        <color theme="1"/>
        <rFont val="Aptos Narrow"/>
        <family val="2"/>
        <scheme val="minor"/>
      </rPr>
      <t xml:space="preserve"> of total assets is Target's largest asset </t>
    </r>
    <r>
      <rPr>
        <b/>
        <i/>
        <sz val="11"/>
        <color theme="1"/>
        <rFont val="Aptos Narrow"/>
        <scheme val="minor"/>
      </rPr>
      <t>class</t>
    </r>
    <r>
      <rPr>
        <sz val="11"/>
        <color theme="1"/>
        <rFont val="Aptos Narrow"/>
        <family val="2"/>
        <scheme val="minor"/>
      </rPr>
      <t xml:space="preserve"> in 2022?</t>
    </r>
    <r>
      <rPr>
        <i/>
        <sz val="10"/>
        <color theme="1"/>
        <rFont val="Aptos Narrow (Body)"/>
      </rPr>
      <t xml:space="preserve"> (reference value from above)</t>
    </r>
  </si>
  <si>
    <r>
      <t xml:space="preserve">2.  Which </t>
    </r>
    <r>
      <rPr>
        <b/>
        <i/>
        <sz val="11"/>
        <color theme="1"/>
        <rFont val="Aptos Narrow"/>
        <scheme val="minor"/>
      </rPr>
      <t>specific</t>
    </r>
    <r>
      <rPr>
        <sz val="11"/>
        <color theme="1"/>
        <rFont val="Aptos Narrow"/>
        <family val="2"/>
        <scheme val="minor"/>
      </rPr>
      <t xml:space="preserve"> asset increased the most between 2021 and 2022? </t>
    </r>
    <r>
      <rPr>
        <i/>
        <sz val="10"/>
        <color theme="1"/>
        <rFont val="Aptos Narrow (Body)"/>
      </rPr>
      <t>(select from dropdown options)</t>
    </r>
  </si>
  <si>
    <t xml:space="preserve">Notes: If a cell solution is not entirely correct (red cell color), look at the feedback up top for help </t>
  </si>
  <si>
    <t>Merchandiser Budget</t>
  </si>
  <si>
    <r>
      <rPr>
        <sz val="12"/>
        <color theme="1"/>
        <rFont val="Aptos Narrow"/>
        <family val="2"/>
        <scheme val="minor"/>
      </rPr>
      <t xml:space="preserve">Prepare the budget for University Apparel making </t>
    </r>
    <r>
      <rPr>
        <b/>
        <sz val="11"/>
        <color theme="1"/>
        <rFont val="Aptos Narrow"/>
        <family val="2"/>
        <scheme val="minor"/>
      </rPr>
      <t xml:space="preserve">efficient </t>
    </r>
    <r>
      <rPr>
        <sz val="12"/>
        <color theme="1"/>
        <rFont val="Aptos Narrow"/>
        <family val="2"/>
        <scheme val="minor"/>
      </rPr>
      <t>use of Excel.  Use formulas where appropriate.  Do not add or delete rows or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</si>
</sst>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_);_(* \(#,##0\);_(* &quot;-&quot;??_);_(@_)"/>
  </numFmts>
  <fonts count="24" x14ac:knownFonts="1">
    <font>
      <sz val="12"/>
      <color theme="1"/>
      <name val="Aptos Narrow"/>
      <family val="2"/>
      <scheme val="minor"/>
    </font>
    <font>
      <sz val="12"/>
      <color theme="1"/>
      <name val="Aptos Narrow"/>
      <family val="2"/>
      <scheme val="minor"/>
    </font>
    <font>
      <sz val="8"/>
      <name val="Aptos Narrow"/>
      <family val="2"/>
      <scheme val="minor"/>
    </font>
    <font>
      <b/>
      <sz val="14"/>
      <color theme="1"/>
      <name val="Aptos Narrow"/>
      <scheme val="minor"/>
    </font>
    <font>
      <b/>
      <sz val="12"/>
      <color theme="0"/>
      <name val="Aptos Narrow"/>
      <scheme val="minor"/>
    </font>
    <font>
      <sz val="11"/>
      <color theme="1"/>
      <name val="Aptos Narrow"/>
      <family val="2"/>
      <scheme val="minor"/>
    </font>
    <font>
      <b/>
      <sz val="11"/>
      <color theme="1"/>
      <name val="Aptos Narrow"/>
      <family val="2"/>
      <scheme val="minor"/>
    </font>
    <font>
      <b/>
      <sz val="12"/>
      <color theme="0"/>
      <name val="Aptos Narrow"/>
      <family val="2"/>
      <scheme val="minor"/>
    </font>
    <font>
      <b/>
      <sz val="12"/>
      <color theme="1"/>
      <name val="Aptos Narrow"/>
      <family val="2"/>
      <scheme val="minor"/>
    </font>
    <font>
      <b/>
      <sz val="14"/>
      <color theme="1"/>
      <name val="Aptos Narrow"/>
      <family val="2"/>
      <scheme val="minor"/>
    </font>
    <font>
      <i/>
      <sz val="12"/>
      <color theme="1"/>
      <name val="Aptos Narrow"/>
      <family val="2"/>
      <scheme val="minor"/>
    </font>
    <font>
      <b/>
      <sz val="12"/>
      <color theme="1"/>
      <name val="Arial"/>
      <family val="2"/>
    </font>
    <font>
      <sz val="12"/>
      <color theme="1"/>
      <name val="Arial"/>
      <family val="2"/>
    </font>
    <font>
      <i/>
      <sz val="10"/>
      <color theme="1"/>
      <name val="Aptos Narrow (Body)"/>
    </font>
    <font>
      <i/>
      <sz val="10"/>
      <color theme="1"/>
      <name val="Aptos Narrow"/>
      <scheme val="minor"/>
    </font>
    <font>
      <b/>
      <sz val="12"/>
      <color theme="1"/>
      <name val="Aptos Narrow"/>
      <scheme val="minor"/>
    </font>
    <font>
      <sz val="12"/>
      <color theme="1"/>
      <name val="Aptos Narrow"/>
      <scheme val="minor"/>
    </font>
    <font>
      <sz val="12"/>
      <color theme="0"/>
      <name val="Aptos Narrow"/>
      <scheme val="minor"/>
    </font>
    <font>
      <i/>
      <sz val="11"/>
      <color theme="1"/>
      <name val="Aptos Narrow"/>
      <scheme val="minor"/>
    </font>
    <font>
      <sz val="14"/>
      <color theme="1"/>
      <name val="Aptos Narrow"/>
      <family val="2"/>
      <scheme val="minor"/>
    </font>
    <font>
      <b/>
      <sz val="11"/>
      <color theme="1"/>
      <name val="Aptos Narrow"/>
      <scheme val="minor"/>
    </font>
    <font>
      <sz val="11"/>
      <color theme="1"/>
      <name val="Aptos Narrow (Body)"/>
    </font>
    <font>
      <b/>
      <i/>
      <sz val="11"/>
      <color theme="1"/>
      <name val="Aptos Narrow"/>
      <scheme val="minor"/>
    </font>
    <font>
      <i/>
      <sz val="9"/>
      <color theme="1"/>
      <name val="Aptos Narrow"/>
      <scheme val="minor"/>
    </font>
  </fonts>
  <fills count="11">
    <fill>
      <patternFill patternType="none"/>
    </fill>
    <fill>
      <patternFill patternType="gray125"/>
    </fill>
    <fill>
      <patternFill patternType="solid">
        <fgColor theme="6" tint="-0.499984740745262"/>
        <bgColor indexed="64"/>
      </patternFill>
    </fill>
    <fill>
      <patternFill patternType="solid">
        <fgColor theme="9"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3300"/>
        <bgColor indexed="64"/>
      </patternFill>
    </fill>
    <fill>
      <patternFill patternType="solid">
        <fgColor rgb="FF7030A0"/>
        <bgColor indexed="64"/>
      </patternFill>
    </fill>
    <fill>
      <patternFill patternType="solid">
        <fgColor rgb="FFC00000"/>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03">
    <xf numFmtId="0" fontId="0" fillId="0" borderId="0" xfId="0"/>
    <xf numFmtId="0" fontId="3" fillId="0" borderId="0" xfId="0" applyFont="1"/>
    <xf numFmtId="0" fontId="0" fillId="0" borderId="0" xfId="0" applyAlignment="1">
      <alignment horizontal="center"/>
    </xf>
    <xf numFmtId="0" fontId="5" fillId="0" borderId="0" xfId="2"/>
    <xf numFmtId="0" fontId="6" fillId="0" borderId="0" xfId="2" applyFont="1"/>
    <xf numFmtId="165" fontId="6" fillId="0" borderId="2" xfId="5" applyNumberFormat="1" applyFont="1" applyBorder="1" applyAlignment="1"/>
    <xf numFmtId="0" fontId="6" fillId="0" borderId="0" xfId="2" applyFont="1" applyAlignment="1">
      <alignment horizontal="left" indent="1"/>
    </xf>
    <xf numFmtId="0" fontId="6" fillId="0" borderId="0" xfId="2" applyFont="1" applyAlignment="1">
      <alignment horizontal="center"/>
    </xf>
    <xf numFmtId="0" fontId="6" fillId="6" borderId="11" xfId="2" applyFont="1" applyFill="1" applyBorder="1"/>
    <xf numFmtId="0" fontId="5" fillId="4" borderId="1" xfId="0" applyFont="1" applyFill="1" applyBorder="1" applyAlignment="1">
      <alignment horizontal="left"/>
    </xf>
    <xf numFmtId="0" fontId="1" fillId="6" borderId="15" xfId="8" applyFill="1" applyBorder="1" applyAlignment="1">
      <alignment horizontal="left"/>
    </xf>
    <xf numFmtId="0" fontId="1" fillId="6" borderId="0" xfId="8" applyFill="1" applyAlignment="1">
      <alignment horizontal="left"/>
    </xf>
    <xf numFmtId="0" fontId="1" fillId="6" borderId="16" xfId="8" applyFill="1" applyBorder="1" applyAlignment="1">
      <alignment horizontal="left"/>
    </xf>
    <xf numFmtId="0" fontId="8" fillId="6" borderId="15" xfId="8" applyFont="1" applyFill="1" applyBorder="1" applyAlignment="1">
      <alignment horizontal="left"/>
    </xf>
    <xf numFmtId="0" fontId="1" fillId="6" borderId="15" xfId="8" applyFill="1" applyBorder="1" applyAlignment="1">
      <alignment horizontal="left" indent="1"/>
    </xf>
    <xf numFmtId="0" fontId="1" fillId="6" borderId="17" xfId="8" applyFill="1" applyBorder="1" applyAlignment="1">
      <alignment horizontal="left" indent="1"/>
    </xf>
    <xf numFmtId="0" fontId="1" fillId="6" borderId="3" xfId="8" applyFill="1" applyBorder="1" applyAlignment="1">
      <alignment horizontal="left"/>
    </xf>
    <xf numFmtId="0" fontId="1" fillId="6" borderId="18" xfId="8" applyFill="1" applyBorder="1" applyAlignment="1">
      <alignment horizontal="left"/>
    </xf>
    <xf numFmtId="0" fontId="1" fillId="0" borderId="0" xfId="2" applyFont="1"/>
    <xf numFmtId="0" fontId="7" fillId="7" borderId="1" xfId="8" applyFont="1" applyFill="1" applyBorder="1" applyAlignment="1">
      <alignment horizontal="center"/>
    </xf>
    <xf numFmtId="10" fontId="1" fillId="8" borderId="1" xfId="8" applyNumberFormat="1" applyFill="1" applyBorder="1"/>
    <xf numFmtId="10" fontId="1" fillId="0" borderId="0" xfId="8" applyNumberFormat="1"/>
    <xf numFmtId="0" fontId="1" fillId="0" borderId="0" xfId="8"/>
    <xf numFmtId="1" fontId="1" fillId="0" borderId="1" xfId="8" applyNumberFormat="1" applyBorder="1"/>
    <xf numFmtId="1" fontId="1" fillId="0" borderId="0" xfId="8" applyNumberFormat="1"/>
    <xf numFmtId="165" fontId="1" fillId="5" borderId="1" xfId="5" applyNumberFormat="1" applyFont="1" applyFill="1" applyBorder="1"/>
    <xf numFmtId="0" fontId="7" fillId="7" borderId="1" xfId="8" applyFont="1" applyFill="1" applyBorder="1" applyAlignment="1">
      <alignment horizontal="center" wrapText="1"/>
    </xf>
    <xf numFmtId="0" fontId="7" fillId="7" borderId="19" xfId="8" applyFont="1" applyFill="1" applyBorder="1" applyAlignment="1">
      <alignment horizontal="center" wrapText="1"/>
    </xf>
    <xf numFmtId="0" fontId="1" fillId="0" borderId="1" xfId="8" applyBorder="1" applyAlignment="1">
      <alignment horizontal="center" vertical="center"/>
    </xf>
    <xf numFmtId="165" fontId="1" fillId="0" borderId="1" xfId="9" applyNumberFormat="1" applyFont="1" applyBorder="1" applyAlignment="1">
      <alignment horizontal="center" vertical="center"/>
    </xf>
    <xf numFmtId="165" fontId="1" fillId="5" borderId="1" xfId="9" applyNumberFormat="1" applyFont="1" applyFill="1" applyBorder="1" applyAlignment="1">
      <alignment horizontal="center" vertical="center"/>
    </xf>
    <xf numFmtId="0" fontId="1" fillId="5" borderId="1" xfId="2" applyFont="1" applyFill="1" applyBorder="1" applyAlignment="1">
      <alignment horizontal="center"/>
    </xf>
    <xf numFmtId="165" fontId="1" fillId="8" borderId="1" xfId="9" applyNumberFormat="1" applyFont="1" applyFill="1" applyBorder="1" applyAlignment="1">
      <alignment horizontal="center" vertical="center"/>
    </xf>
    <xf numFmtId="0" fontId="1" fillId="0" borderId="1" xfId="2" applyFont="1" applyBorder="1" applyAlignment="1">
      <alignment horizontal="center" vertical="center"/>
    </xf>
    <xf numFmtId="165" fontId="1" fillId="0" borderId="1" xfId="5" applyNumberFormat="1" applyFont="1" applyBorder="1" applyAlignment="1">
      <alignment horizontal="center" vertical="center"/>
    </xf>
    <xf numFmtId="165" fontId="1" fillId="8" borderId="1" xfId="5" applyNumberFormat="1" applyFont="1" applyFill="1" applyBorder="1" applyAlignment="1">
      <alignment horizontal="center" vertical="center"/>
    </xf>
    <xf numFmtId="0" fontId="11" fillId="0" borderId="1" xfId="0" applyFont="1" applyBorder="1" applyAlignment="1">
      <alignment horizontal="center"/>
    </xf>
    <xf numFmtId="44" fontId="12" fillId="8" borderId="1" xfId="6" applyFont="1" applyFill="1" applyBorder="1"/>
    <xf numFmtId="0" fontId="0" fillId="0" borderId="0" xfId="0" applyAlignment="1">
      <alignment horizontal="left"/>
    </xf>
    <xf numFmtId="0" fontId="12" fillId="0" borderId="1" xfId="0" applyFont="1" applyBorder="1" applyAlignment="1">
      <alignment horizontal="left"/>
    </xf>
    <xf numFmtId="0" fontId="12" fillId="0" borderId="1" xfId="0" applyFont="1" applyBorder="1" applyAlignment="1">
      <alignment horizontal="center"/>
    </xf>
    <xf numFmtId="44" fontId="12" fillId="0" borderId="1" xfId="6" applyFont="1" applyBorder="1"/>
    <xf numFmtId="44" fontId="12" fillId="5" borderId="1" xfId="6" applyFont="1" applyFill="1" applyBorder="1" applyAlignment="1">
      <alignment horizontal="left"/>
    </xf>
    <xf numFmtId="44" fontId="0" fillId="0" borderId="0" xfId="0" applyNumberFormat="1"/>
    <xf numFmtId="0" fontId="1" fillId="6" borderId="17" xfId="8" applyFill="1" applyBorder="1" applyAlignment="1">
      <alignment horizontal="left"/>
    </xf>
    <xf numFmtId="0" fontId="5" fillId="6" borderId="10" xfId="2" applyFill="1" applyBorder="1"/>
    <xf numFmtId="0" fontId="5" fillId="6" borderId="9" xfId="2" applyFill="1" applyBorder="1"/>
    <xf numFmtId="0" fontId="5" fillId="6" borderId="8" xfId="2" applyFill="1" applyBorder="1"/>
    <xf numFmtId="0" fontId="5" fillId="6" borderId="0" xfId="2" applyFill="1"/>
    <xf numFmtId="0" fontId="5" fillId="6" borderId="7" xfId="2" applyFill="1" applyBorder="1"/>
    <xf numFmtId="165" fontId="5" fillId="0" borderId="0" xfId="5" applyNumberFormat="1" applyFont="1" applyAlignment="1"/>
    <xf numFmtId="164" fontId="5" fillId="5" borderId="0" xfId="4" applyNumberFormat="1" applyFont="1" applyFill="1" applyAlignment="1"/>
    <xf numFmtId="165" fontId="5" fillId="5" borderId="0" xfId="5" applyNumberFormat="1" applyFont="1" applyFill="1"/>
    <xf numFmtId="164" fontId="5" fillId="5" borderId="0" xfId="4" applyNumberFormat="1" applyFont="1" applyFill="1"/>
    <xf numFmtId="165" fontId="5" fillId="0" borderId="3" xfId="5" applyNumberFormat="1" applyFont="1" applyBorder="1" applyAlignment="1"/>
    <xf numFmtId="164" fontId="5" fillId="5" borderId="3" xfId="4" applyNumberFormat="1" applyFont="1" applyFill="1" applyBorder="1" applyAlignment="1"/>
    <xf numFmtId="165" fontId="5" fillId="5" borderId="3" xfId="5" applyNumberFormat="1" applyFont="1" applyFill="1" applyBorder="1"/>
    <xf numFmtId="164" fontId="5" fillId="5" borderId="3" xfId="4" applyNumberFormat="1" applyFont="1" applyFill="1" applyBorder="1"/>
    <xf numFmtId="165" fontId="5" fillId="0" borderId="0" xfId="5" applyNumberFormat="1" applyFont="1" applyFill="1" applyAlignment="1"/>
    <xf numFmtId="164" fontId="5" fillId="0" borderId="0" xfId="4" applyNumberFormat="1" applyFont="1" applyFill="1" applyAlignment="1"/>
    <xf numFmtId="165" fontId="5" fillId="0" borderId="0" xfId="5" applyNumberFormat="1" applyFont="1" applyFill="1"/>
    <xf numFmtId="164" fontId="5" fillId="0" borderId="0" xfId="4" applyNumberFormat="1" applyFont="1" applyFill="1"/>
    <xf numFmtId="0" fontId="5" fillId="0" borderId="0" xfId="2" applyAlignment="1">
      <alignment horizontal="left" indent="1"/>
    </xf>
    <xf numFmtId="164" fontId="5" fillId="5" borderId="2" xfId="4" applyNumberFormat="1" applyFont="1" applyFill="1" applyBorder="1" applyAlignment="1"/>
    <xf numFmtId="165" fontId="5" fillId="5" borderId="2" xfId="5" applyNumberFormat="1" applyFont="1" applyFill="1" applyBorder="1"/>
    <xf numFmtId="164" fontId="5" fillId="5" borderId="2" xfId="4" applyNumberFormat="1" applyFont="1" applyFill="1" applyBorder="1"/>
    <xf numFmtId="166" fontId="5" fillId="0" borderId="0" xfId="2" applyNumberFormat="1"/>
    <xf numFmtId="165" fontId="5" fillId="0" borderId="0" xfId="5" applyNumberFormat="1" applyFont="1" applyBorder="1" applyAlignment="1"/>
    <xf numFmtId="164" fontId="5" fillId="5" borderId="0" xfId="4" applyNumberFormat="1" applyFont="1" applyFill="1" applyBorder="1" applyAlignment="1"/>
    <xf numFmtId="165" fontId="5" fillId="0" borderId="0" xfId="5" applyNumberFormat="1" applyFont="1"/>
    <xf numFmtId="164" fontId="5" fillId="5" borderId="1" xfId="2" applyNumberFormat="1" applyFill="1" applyBorder="1"/>
    <xf numFmtId="0" fontId="5" fillId="0" borderId="0" xfId="0" applyFont="1"/>
    <xf numFmtId="164" fontId="5" fillId="0" borderId="0" xfId="0" applyNumberFormat="1" applyFont="1"/>
    <xf numFmtId="0" fontId="5" fillId="4" borderId="1" xfId="2" applyFill="1" applyBorder="1" applyAlignment="1">
      <alignment horizontal="left"/>
    </xf>
    <xf numFmtId="164" fontId="5" fillId="0" borderId="0" xfId="2" applyNumberFormat="1"/>
    <xf numFmtId="0" fontId="5" fillId="0" borderId="0" xfId="2" applyAlignment="1">
      <alignment horizontal="left" vertical="top"/>
    </xf>
    <xf numFmtId="0" fontId="14" fillId="0" borderId="0" xfId="2" applyFont="1"/>
    <xf numFmtId="0" fontId="5" fillId="0" borderId="1" xfId="2" applyBorder="1"/>
    <xf numFmtId="0" fontId="16" fillId="0" borderId="0" xfId="0" applyFont="1"/>
    <xf numFmtId="0" fontId="17" fillId="3" borderId="1" xfId="0" applyFont="1" applyFill="1" applyBorder="1" applyAlignment="1">
      <alignment horizontal="center"/>
    </xf>
    <xf numFmtId="0" fontId="17" fillId="3" borderId="20" xfId="0" applyFont="1" applyFill="1" applyBorder="1" applyAlignment="1">
      <alignment horizontal="center"/>
    </xf>
    <xf numFmtId="0" fontId="16" fillId="0" borderId="1" xfId="2" applyFont="1" applyBorder="1"/>
    <xf numFmtId="165" fontId="16" fillId="0" borderId="1" xfId="1" applyNumberFormat="1" applyFont="1" applyFill="1" applyBorder="1" applyAlignment="1">
      <alignment horizontal="right"/>
    </xf>
    <xf numFmtId="164" fontId="16" fillId="5" borderId="20" xfId="7" applyNumberFormat="1" applyFont="1" applyFill="1" applyBorder="1" applyAlignment="1">
      <alignment horizontal="right"/>
    </xf>
    <xf numFmtId="0" fontId="15" fillId="0" borderId="1" xfId="2" applyFont="1" applyBorder="1" applyAlignment="1">
      <alignment horizontal="right"/>
    </xf>
    <xf numFmtId="165" fontId="16" fillId="5" borderId="1" xfId="0" applyNumberFormat="1" applyFont="1" applyFill="1" applyBorder="1"/>
    <xf numFmtId="0" fontId="16" fillId="0" borderId="0" xfId="0" applyFont="1" applyAlignment="1">
      <alignment horizontal="left" indent="1"/>
    </xf>
    <xf numFmtId="0" fontId="5" fillId="4" borderId="1" xfId="2" applyFill="1" applyBorder="1"/>
    <xf numFmtId="0" fontId="0" fillId="0" borderId="0" xfId="0" pivotButton="1"/>
    <xf numFmtId="165" fontId="0" fillId="0" borderId="21" xfId="6" applyNumberFormat="1" applyFont="1" applyBorder="1"/>
    <xf numFmtId="0" fontId="0" fillId="0" borderId="1" xfId="0" applyBorder="1"/>
    <xf numFmtId="165" fontId="0" fillId="0" borderId="22" xfId="6" applyNumberFormat="1" applyFont="1" applyBorder="1"/>
    <xf numFmtId="165" fontId="0" fillId="4" borderId="22" xfId="6" applyNumberFormat="1" applyFont="1" applyFill="1" applyBorder="1"/>
    <xf numFmtId="0" fontId="0" fillId="0" borderId="1" xfId="0" quotePrefix="1" applyBorder="1"/>
    <xf numFmtId="165" fontId="0" fillId="0" borderId="1" xfId="6" applyNumberFormat="1" applyFont="1" applyBorder="1"/>
    <xf numFmtId="165" fontId="0" fillId="4" borderId="1" xfId="6" applyNumberFormat="1" applyFont="1" applyFill="1" applyBorder="1"/>
    <xf numFmtId="0" fontId="6" fillId="0" borderId="1" xfId="0" applyFont="1" applyBorder="1"/>
    <xf numFmtId="0" fontId="6" fillId="0" borderId="0" xfId="0" applyFont="1"/>
    <xf numFmtId="167" fontId="0" fillId="9" borderId="0" xfId="1" applyNumberFormat="1" applyFont="1" applyFill="1"/>
    <xf numFmtId="0" fontId="0" fillId="9" borderId="0" xfId="0" applyFill="1"/>
    <xf numFmtId="165" fontId="0" fillId="9" borderId="0" xfId="6" applyNumberFormat="1" applyFont="1" applyFill="1"/>
    <xf numFmtId="167" fontId="0" fillId="9" borderId="3" xfId="1" applyNumberFormat="1" applyFont="1" applyFill="1" applyBorder="1"/>
    <xf numFmtId="165" fontId="0" fillId="9" borderId="3" xfId="6" applyNumberFormat="1" applyFont="1" applyFill="1" applyBorder="1"/>
    <xf numFmtId="9" fontId="0" fillId="9" borderId="0" xfId="0" applyNumberFormat="1" applyFill="1"/>
    <xf numFmtId="165" fontId="0" fillId="0" borderId="23" xfId="6" applyNumberFormat="1" applyFont="1" applyBorder="1"/>
    <xf numFmtId="0" fontId="0" fillId="0" borderId="24" xfId="0" applyBorder="1"/>
    <xf numFmtId="165" fontId="0" fillId="0" borderId="25" xfId="6" applyNumberFormat="1" applyFont="1" applyBorder="1"/>
    <xf numFmtId="165" fontId="0" fillId="4" borderId="26" xfId="6" applyNumberFormat="1" applyFont="1" applyFill="1" applyBorder="1"/>
    <xf numFmtId="165" fontId="0" fillId="4" borderId="27" xfId="6" applyNumberFormat="1" applyFont="1" applyFill="1" applyBorder="1"/>
    <xf numFmtId="165" fontId="0" fillId="0" borderId="26" xfId="6" applyNumberFormat="1" applyFont="1" applyBorder="1"/>
    <xf numFmtId="165" fontId="0" fillId="0" borderId="27" xfId="6" applyNumberFormat="1" applyFont="1" applyBorder="1"/>
    <xf numFmtId="0" fontId="6" fillId="0" borderId="28" xfId="0" applyFont="1" applyBorder="1"/>
    <xf numFmtId="0" fontId="6" fillId="0" borderId="29" xfId="0" applyFont="1" applyBorder="1"/>
    <xf numFmtId="165" fontId="0" fillId="4" borderId="30" xfId="6" applyNumberFormat="1" applyFont="1" applyFill="1" applyBorder="1"/>
    <xf numFmtId="165" fontId="0" fillId="4" borderId="25" xfId="6" applyNumberFormat="1" applyFont="1" applyFill="1" applyBorder="1"/>
    <xf numFmtId="167" fontId="6" fillId="0" borderId="28" xfId="1" applyNumberFormat="1" applyFont="1" applyBorder="1"/>
    <xf numFmtId="167" fontId="6" fillId="0" borderId="29" xfId="1" applyNumberFormat="1" applyFont="1" applyBorder="1"/>
    <xf numFmtId="0" fontId="0" fillId="0" borderId="1" xfId="0" applyBorder="1" applyAlignment="1">
      <alignment horizontal="left" indent="1"/>
    </xf>
    <xf numFmtId="165" fontId="0" fillId="0" borderId="30" xfId="6" applyNumberFormat="1" applyFont="1" applyBorder="1"/>
    <xf numFmtId="0" fontId="0" fillId="0" borderId="12" xfId="0" applyBorder="1"/>
    <xf numFmtId="0" fontId="0" fillId="0" borderId="31" xfId="0" applyBorder="1"/>
    <xf numFmtId="165" fontId="0" fillId="0" borderId="0" xfId="6" applyNumberFormat="1" applyFont="1"/>
    <xf numFmtId="165" fontId="0" fillId="4" borderId="0" xfId="6" applyNumberFormat="1" applyFont="1" applyFill="1"/>
    <xf numFmtId="0" fontId="0" fillId="9" borderId="20" xfId="0" applyFill="1" applyBorder="1"/>
    <xf numFmtId="0" fontId="0" fillId="9" borderId="24" xfId="0" applyFill="1" applyBorder="1"/>
    <xf numFmtId="0" fontId="0" fillId="0" borderId="0" xfId="0" quotePrefix="1"/>
    <xf numFmtId="0" fontId="0" fillId="9" borderId="24" xfId="0" quotePrefix="1" applyFill="1" applyBorder="1"/>
    <xf numFmtId="0" fontId="0" fillId="9" borderId="0" xfId="0" quotePrefix="1" applyFill="1"/>
    <xf numFmtId="0" fontId="0" fillId="0" borderId="20" xfId="0" applyBorder="1"/>
    <xf numFmtId="0" fontId="0" fillId="0" borderId="24" xfId="0" quotePrefix="1" applyBorder="1"/>
    <xf numFmtId="0" fontId="6" fillId="9" borderId="0" xfId="0" applyFont="1" applyFill="1"/>
    <xf numFmtId="0" fontId="6" fillId="0" borderId="20" xfId="0" applyFont="1" applyBorder="1"/>
    <xf numFmtId="0" fontId="6" fillId="0" borderId="24" xfId="0" applyFont="1" applyBorder="1"/>
    <xf numFmtId="44" fontId="0" fillId="9" borderId="0" xfId="0" applyNumberFormat="1" applyFill="1"/>
    <xf numFmtId="165" fontId="0" fillId="9" borderId="0" xfId="0" applyNumberFormat="1" applyFill="1"/>
    <xf numFmtId="3" fontId="0" fillId="9" borderId="3" xfId="0" applyNumberFormat="1" applyFill="1" applyBorder="1"/>
    <xf numFmtId="3" fontId="0" fillId="9" borderId="0" xfId="0" quotePrefix="1" applyNumberFormat="1" applyFill="1"/>
    <xf numFmtId="9" fontId="0" fillId="0" borderId="0" xfId="0" applyNumberFormat="1"/>
    <xf numFmtId="165" fontId="0" fillId="0" borderId="32" xfId="6" applyNumberFormat="1" applyFont="1" applyBorder="1"/>
    <xf numFmtId="0" fontId="0" fillId="0" borderId="1" xfId="0" applyBorder="1" applyAlignment="1">
      <alignment horizontal="left"/>
    </xf>
    <xf numFmtId="0" fontId="0" fillId="0" borderId="28" xfId="0" applyBorder="1"/>
    <xf numFmtId="0" fontId="0" fillId="0" borderId="29" xfId="0" applyBorder="1"/>
    <xf numFmtId="0" fontId="0" fillId="9" borderId="3" xfId="0" applyFill="1" applyBorder="1"/>
    <xf numFmtId="9" fontId="0" fillId="9" borderId="3" xfId="0" applyNumberFormat="1" applyFill="1" applyBorder="1"/>
    <xf numFmtId="165" fontId="0" fillId="0" borderId="0" xfId="0" applyNumberFormat="1"/>
    <xf numFmtId="165" fontId="0" fillId="0" borderId="3" xfId="0" applyNumberFormat="1" applyBorder="1"/>
    <xf numFmtId="165" fontId="0" fillId="0" borderId="30" xfId="0" applyNumberFormat="1" applyBorder="1"/>
    <xf numFmtId="165" fontId="0" fillId="0" borderId="26" xfId="0" applyNumberFormat="1" applyBorder="1"/>
    <xf numFmtId="165" fontId="0" fillId="0" borderId="27" xfId="0" applyNumberFormat="1" applyBorder="1"/>
    <xf numFmtId="0" fontId="0" fillId="0" borderId="20" xfId="0" quotePrefix="1" applyBorder="1"/>
    <xf numFmtId="165" fontId="0" fillId="4" borderId="20" xfId="6" applyNumberFormat="1" applyFont="1" applyFill="1" applyBorder="1"/>
    <xf numFmtId="165" fontId="0" fillId="4" borderId="24" xfId="6" applyNumberFormat="1" applyFont="1" applyFill="1" applyBorder="1"/>
    <xf numFmtId="9" fontId="0" fillId="0" borderId="1" xfId="0" applyNumberFormat="1" applyBorder="1" applyAlignment="1">
      <alignment horizontal="center"/>
    </xf>
    <xf numFmtId="165" fontId="0" fillId="0" borderId="20" xfId="6" applyNumberFormat="1" applyFont="1" applyBorder="1"/>
    <xf numFmtId="165" fontId="0" fillId="0" borderId="24" xfId="6" applyNumberFormat="1" applyFont="1" applyBorder="1"/>
    <xf numFmtId="9" fontId="0" fillId="10" borderId="1" xfId="7" applyFont="1" applyFill="1" applyBorder="1" applyAlignment="1">
      <alignment horizontal="center"/>
    </xf>
    <xf numFmtId="0" fontId="18" fillId="0" borderId="0" xfId="2" applyFont="1" applyAlignment="1">
      <alignment horizontal="left"/>
    </xf>
    <xf numFmtId="165" fontId="0" fillId="5" borderId="27" xfId="6" applyNumberFormat="1" applyFont="1" applyFill="1" applyBorder="1"/>
    <xf numFmtId="165" fontId="0" fillId="5" borderId="26" xfId="6" applyNumberFormat="1" applyFont="1" applyFill="1" applyBorder="1"/>
    <xf numFmtId="165" fontId="0" fillId="5" borderId="25" xfId="6" applyNumberFormat="1" applyFont="1" applyFill="1" applyBorder="1"/>
    <xf numFmtId="165" fontId="0" fillId="5" borderId="30" xfId="6" applyNumberFormat="1" applyFont="1" applyFill="1" applyBorder="1"/>
    <xf numFmtId="0" fontId="8" fillId="0" borderId="1" xfId="0" applyFont="1" applyBorder="1"/>
    <xf numFmtId="0" fontId="8" fillId="0" borderId="24" xfId="0" applyFont="1" applyBorder="1"/>
    <xf numFmtId="0" fontId="8" fillId="0" borderId="29" xfId="0" applyFont="1" applyBorder="1"/>
    <xf numFmtId="0" fontId="8" fillId="0" borderId="28" xfId="0" applyFont="1" applyBorder="1"/>
    <xf numFmtId="0" fontId="8" fillId="0" borderId="20" xfId="0" applyFont="1" applyBorder="1"/>
    <xf numFmtId="165" fontId="0" fillId="5" borderId="0" xfId="6" applyNumberFormat="1" applyFont="1" applyFill="1"/>
    <xf numFmtId="9" fontId="0" fillId="5" borderId="3" xfId="0" applyNumberFormat="1" applyFill="1" applyBorder="1"/>
    <xf numFmtId="0" fontId="18" fillId="0" borderId="0" xfId="0" applyFont="1" applyAlignment="1">
      <alignment horizontal="left" indent="1"/>
    </xf>
    <xf numFmtId="0" fontId="23" fillId="0" borderId="0" xfId="0" applyFont="1"/>
    <xf numFmtId="0" fontId="4" fillId="2" borderId="1" xfId="0" applyFont="1" applyFill="1" applyBorder="1" applyAlignment="1">
      <alignment horizontal="center"/>
    </xf>
    <xf numFmtId="0" fontId="5" fillId="6" borderId="6" xfId="2" applyFill="1" applyBorder="1" applyAlignment="1">
      <alignment horizontal="left" vertical="top" wrapText="1"/>
    </xf>
    <xf numFmtId="0" fontId="5" fillId="6" borderId="5" xfId="2" applyFill="1" applyBorder="1" applyAlignment="1">
      <alignment horizontal="left" vertical="top" wrapText="1"/>
    </xf>
    <xf numFmtId="0" fontId="5" fillId="6" borderId="4" xfId="2" applyFill="1" applyBorder="1" applyAlignment="1">
      <alignment horizontal="left" vertical="top" wrapText="1"/>
    </xf>
    <xf numFmtId="0" fontId="6" fillId="0" borderId="0" xfId="2" applyFont="1" applyAlignment="1">
      <alignment horizontal="center"/>
    </xf>
    <xf numFmtId="0" fontId="0" fillId="0" borderId="0" xfId="0" applyAlignment="1">
      <alignment horizontal="left" wrapText="1"/>
    </xf>
    <xf numFmtId="0" fontId="0" fillId="0" borderId="24" xfId="0" applyBorder="1" applyAlignment="1">
      <alignment horizontal="left"/>
    </xf>
    <xf numFmtId="0" fontId="0" fillId="0" borderId="20" xfId="0" applyBorder="1" applyAlignment="1">
      <alignment horizontal="left"/>
    </xf>
    <xf numFmtId="0" fontId="0" fillId="0" borderId="0" xfId="0" applyAlignment="1">
      <alignment wrapText="1"/>
    </xf>
    <xf numFmtId="0" fontId="0" fillId="0" borderId="12" xfId="0" applyBorder="1" applyAlignment="1">
      <alignment horizontal="left"/>
    </xf>
    <xf numFmtId="0" fontId="0" fillId="0" borderId="14" xfId="0" applyBorder="1" applyAlignment="1">
      <alignment horizontal="left"/>
    </xf>
    <xf numFmtId="0" fontId="0" fillId="0" borderId="1" xfId="0" applyBorder="1"/>
    <xf numFmtId="0" fontId="0" fillId="0" borderId="24" xfId="0" quotePrefix="1" applyBorder="1" applyAlignment="1">
      <alignment horizontal="left"/>
    </xf>
    <xf numFmtId="0" fontId="0" fillId="0" borderId="20" xfId="0" quotePrefix="1" applyBorder="1" applyAlignment="1">
      <alignment horizontal="left"/>
    </xf>
    <xf numFmtId="0" fontId="0" fillId="0" borderId="1" xfId="0" applyBorder="1" applyAlignment="1">
      <alignment horizontal="left"/>
    </xf>
    <xf numFmtId="0" fontId="0" fillId="0" borderId="1" xfId="0" quotePrefix="1" applyBorder="1" applyAlignment="1">
      <alignment horizontal="left"/>
    </xf>
    <xf numFmtId="0" fontId="9" fillId="0" borderId="0" xfId="0" applyFont="1" applyAlignment="1">
      <alignment horizontal="center"/>
    </xf>
    <xf numFmtId="0" fontId="19" fillId="0" borderId="0" xfId="0" applyFont="1" applyAlignment="1">
      <alignment horizontal="center"/>
    </xf>
    <xf numFmtId="0" fontId="0" fillId="0" borderId="0" xfId="0" quotePrefix="1" applyAlignment="1">
      <alignment horizontal="left" wrapText="1"/>
    </xf>
    <xf numFmtId="0" fontId="0" fillId="0" borderId="24" xfId="0" applyBorder="1"/>
    <xf numFmtId="0" fontId="0" fillId="0" borderId="20" xfId="0" applyBorder="1"/>
    <xf numFmtId="0" fontId="9" fillId="6" borderId="12" xfId="8" applyFont="1" applyFill="1" applyBorder="1" applyAlignment="1">
      <alignment horizontal="left"/>
    </xf>
    <xf numFmtId="0" fontId="9" fillId="6" borderId="13" xfId="8" applyFont="1" applyFill="1" applyBorder="1" applyAlignment="1">
      <alignment horizontal="left"/>
    </xf>
    <xf numFmtId="0" fontId="9" fillId="6" borderId="14" xfId="8" applyFont="1" applyFill="1" applyBorder="1" applyAlignment="1">
      <alignment horizontal="left"/>
    </xf>
    <xf numFmtId="0" fontId="1" fillId="6" borderId="15" xfId="8" applyFill="1" applyBorder="1" applyAlignment="1">
      <alignment horizontal="left"/>
    </xf>
    <xf numFmtId="0" fontId="1" fillId="6" borderId="0" xfId="8" applyFill="1" applyAlignment="1">
      <alignment horizontal="left"/>
    </xf>
    <xf numFmtId="0" fontId="1" fillId="6" borderId="16" xfId="8" applyFill="1" applyBorder="1" applyAlignment="1">
      <alignment horizontal="left"/>
    </xf>
    <xf numFmtId="0" fontId="1" fillId="6" borderId="15" xfId="8" applyFill="1" applyBorder="1" applyAlignment="1">
      <alignment horizontal="left" indent="1"/>
    </xf>
    <xf numFmtId="0" fontId="1" fillId="6" borderId="0" xfId="8" applyFill="1" applyAlignment="1">
      <alignment horizontal="left" indent="1"/>
    </xf>
    <xf numFmtId="0" fontId="1" fillId="6" borderId="16" xfId="8" applyFill="1" applyBorder="1" applyAlignment="1">
      <alignment horizontal="left" indent="1"/>
    </xf>
    <xf numFmtId="0" fontId="1" fillId="6" borderId="15" xfId="8" applyFill="1" applyBorder="1" applyAlignment="1">
      <alignment horizontal="left" indent="2"/>
    </xf>
    <xf numFmtId="0" fontId="1" fillId="6" borderId="0" xfId="8" applyFill="1" applyAlignment="1">
      <alignment horizontal="left" indent="2"/>
    </xf>
    <xf numFmtId="0" fontId="1" fillId="6" borderId="16" xfId="8" applyFill="1" applyBorder="1" applyAlignment="1">
      <alignment horizontal="left" indent="2"/>
    </xf>
  </cellXfs>
  <cellStyles count="10">
    <cellStyle name="Comma" xfId="1" builtinId="3"/>
    <cellStyle name="Comma 2" xfId="3" xr:uid="{929E7ED6-DA16-D648-9A38-0D1BB0E43141}"/>
    <cellStyle name="Currency" xfId="6" builtinId="4"/>
    <cellStyle name="Currency 2" xfId="5" xr:uid="{6E31CEEA-E8BF-5747-BB37-8F6F37405DB1}"/>
    <cellStyle name="Currency 2 2" xfId="9" xr:uid="{5C662A98-99B4-4744-B8C2-A8BD36760575}"/>
    <cellStyle name="Normal" xfId="0" builtinId="0"/>
    <cellStyle name="Normal 2" xfId="2" xr:uid="{37E0512D-D8F2-8F45-A854-46971F9D234F}"/>
    <cellStyle name="Normal 2 3" xfId="8" xr:uid="{948C2F84-FCC4-C947-B5EE-8A6795270CFF}"/>
    <cellStyle name="Percent" xfId="7" builtinId="5"/>
    <cellStyle name="Percent 2" xfId="4" xr:uid="{E8D8BFB1-4327-3F44-B246-4D54A8BD13B7}"/>
  </cellStyles>
  <dxfs count="1">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1348828</xdr:colOff>
      <xdr:row>12</xdr:row>
      <xdr:rowOff>96345</xdr:rowOff>
    </xdr:from>
    <xdr:ext cx="4527934" cy="7882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81388FEF-2D4E-2567-F7EB-0BC64B456A04}"/>
                </a:ext>
              </a:extLst>
            </xdr:cNvPr>
            <xdr:cNvSpPr txBox="1"/>
          </xdr:nvSpPr>
          <xdr:spPr>
            <a:xfrm>
              <a:off x="5228897" y="244365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14:m>
                <m:oMath xmlns:m="http://schemas.openxmlformats.org/officeDocument/2006/math">
                  <m:f>
                    <m:fPr>
                      <m:ctrlPr>
                        <a:rPr lang="en-US" sz="2400" i="1">
                          <a:latin typeface="Cambria Math" panose="02040503050406030204" pitchFamily="18" charset="0"/>
                        </a:rPr>
                      </m:ctrlPr>
                    </m:fPr>
                    <m:num>
                      <m:r>
                        <a:rPr lang="en-US" sz="2400" b="0" i="1">
                          <a:latin typeface="Cambria Math" panose="02040503050406030204" pitchFamily="18" charset="0"/>
                        </a:rPr>
                        <m:t>𝑃𝑖</m:t>
                      </m:r>
                    </m:num>
                    <m:den>
                      <m:r>
                        <a:rPr lang="en-US" sz="2400" b="0" i="1">
                          <a:latin typeface="Cambria Math" panose="02040503050406030204" pitchFamily="18" charset="0"/>
                        </a:rPr>
                        <m:t>( 1−</m:t>
                      </m:r>
                      <m:sSup>
                        <m:sSupPr>
                          <m:ctrlPr>
                            <a:rPr lang="en-US" sz="2400" b="0" i="1">
                              <a:latin typeface="Cambria Math" panose="02040503050406030204" pitchFamily="18" charset="0"/>
                            </a:rPr>
                          </m:ctrlPr>
                        </m:sSupPr>
                        <m:e>
                          <m:r>
                            <a:rPr lang="en-US" sz="2400" b="0" i="1">
                              <a:latin typeface="Cambria Math" panose="02040503050406030204" pitchFamily="18" charset="0"/>
                            </a:rPr>
                            <m:t> </m:t>
                          </m:r>
                          <m:d>
                            <m:dPr>
                              <m:ctrlPr>
                                <a:rPr lang="en-US" sz="2400" b="0" i="1">
                                  <a:latin typeface="Cambria Math" panose="02040503050406030204" pitchFamily="18" charset="0"/>
                                </a:rPr>
                              </m:ctrlPr>
                            </m:dPr>
                            <m:e>
                              <m:r>
                                <a:rPr lang="en-US" sz="2400" b="0" i="1">
                                  <a:latin typeface="Cambria Math" panose="02040503050406030204" pitchFamily="18" charset="0"/>
                                </a:rPr>
                                <m:t>1 + </m:t>
                              </m:r>
                              <m:r>
                                <a:rPr lang="en-US" sz="2400" b="0" i="1">
                                  <a:latin typeface="Cambria Math" panose="02040503050406030204" pitchFamily="18" charset="0"/>
                                </a:rPr>
                                <m:t>𝑖</m:t>
                              </m:r>
                            </m:e>
                          </m:d>
                        </m:e>
                        <m:sup>
                          <m:r>
                            <a:rPr lang="en-US" sz="2400" b="0" i="1">
                              <a:latin typeface="Cambria Math" panose="02040503050406030204" pitchFamily="18" charset="0"/>
                            </a:rPr>
                            <m:t>−</m:t>
                          </m:r>
                          <m:r>
                            <a:rPr lang="en-US" sz="2400" b="0" i="1">
                              <a:latin typeface="Cambria Math" panose="02040503050406030204" pitchFamily="18" charset="0"/>
                            </a:rPr>
                            <m:t>𝑛</m:t>
                          </m:r>
                          <m:r>
                            <a:rPr lang="en-US" sz="2400" b="0" i="1">
                              <a:latin typeface="Cambria Math" panose="02040503050406030204" pitchFamily="18" charset="0"/>
                            </a:rPr>
                            <m:t> </m:t>
                          </m:r>
                        </m:sup>
                      </m:sSup>
                      <m:r>
                        <a:rPr lang="en-US" sz="2400" b="0" i="1">
                          <a:latin typeface="Cambria Math" panose="02040503050406030204" pitchFamily="18" charset="0"/>
                        </a:rPr>
                        <m:t> )</m:t>
                      </m:r>
                    </m:den>
                  </m:f>
                </m:oMath>
              </a14:m>
              <a:endParaRPr lang="en-US" sz="2400"/>
            </a:p>
          </xdr:txBody>
        </xdr:sp>
      </mc:Choice>
      <mc:Fallback xmlns="">
        <xdr:sp macro="" textlink="">
          <xdr:nvSpPr>
            <xdr:cNvPr id="4" name="TextBox 3">
              <a:extLst>
                <a:ext uri="{FF2B5EF4-FFF2-40B4-BE49-F238E27FC236}">
                  <a16:creationId xmlns:a16="http://schemas.microsoft.com/office/drawing/2014/main" id="{81388FEF-2D4E-2567-F7EB-0BC64B456A04}"/>
                </a:ext>
              </a:extLst>
            </xdr:cNvPr>
            <xdr:cNvSpPr txBox="1"/>
          </xdr:nvSpPr>
          <xdr:spPr>
            <a:xfrm>
              <a:off x="5228897" y="2443655"/>
              <a:ext cx="4527934" cy="7882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i="1"/>
                <a:t>   Annual Loan Payment </a:t>
              </a:r>
              <a:r>
                <a:rPr lang="en-US" sz="2400"/>
                <a:t>= </a:t>
              </a:r>
              <a:r>
                <a:rPr lang="en-US" sz="2400" b="0" i="0">
                  <a:latin typeface="Cambria Math" panose="02040503050406030204" pitchFamily="18" charset="0"/>
                </a:rPr>
                <a:t>𝑃𝑖/(( 1−〖 (1 + 𝑖)〗^(−𝑛 )  ))</a:t>
              </a:r>
              <a:endParaRPr lang="en-US" sz="2400"/>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tmailohio-my.sharepoint.com/C:/C:/Users/kenyo/Dropbox/qba%201720/Module%202%20Foundations%20of%20Summarizing%20Data%20with%20Excel/C:/Users/goodnite/Dropbox%20(Personal)/1-Andrew/0%20-%20COB%20COURSES/QBA%203710%20(MWF%20Format)/Module%202/Learning%20Activities/p2.2solution-complete.xlsx?828EFB16" TargetMode="External"/><Relationship Id="rId1" Type="http://schemas.openxmlformats.org/officeDocument/2006/relationships/externalLinkPath" Target="file:///828EFB16/p2.2solution-compl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 salary"/>
      <sheetName val="4 NFL_Salary"/>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Mary Sasmaz" id="{3BB2E736-C67F-3C49-B43B-1C645C8410B9}" userId="S::mbs26@case.edu::08304b86-179a-491c-b160-e2a3308c448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en Kenyo" refreshedDate="45510.395558101853" createdVersion="8" refreshedVersion="8" minRefreshableVersion="3" recordCount="59" xr:uid="{0466FA2F-47B5-0842-816D-C14383E0C7D4}">
  <cacheSource type="worksheet">
    <worksheetSource ref="B8:J67" sheet="Bakery Pivots"/>
  </cacheSource>
  <cacheFields count="9">
    <cacheField name="Order #" numFmtId="0">
      <sharedItems containsSemiMixedTypes="0" containsString="0" containsNumber="1" containsInteger="1" minValue="24001" maxValue="24026" count="26">
        <n v="24001"/>
        <n v="24002"/>
        <n v="24003"/>
        <n v="24004"/>
        <n v="24005"/>
        <n v="24006"/>
        <n v="24007"/>
        <n v="24008"/>
        <n v="24009"/>
        <n v="24010"/>
        <n v="24011"/>
        <n v="24012"/>
        <n v="24013"/>
        <n v="24014"/>
        <n v="24015"/>
        <n v="24016"/>
        <n v="24017"/>
        <n v="24018"/>
        <n v="24019"/>
        <n v="24020"/>
        <n v="24021"/>
        <n v="24022"/>
        <n v="24023"/>
        <n v="24024"/>
        <n v="24025"/>
        <n v="24026"/>
      </sharedItems>
    </cacheField>
    <cacheField name="Product" numFmtId="0">
      <sharedItems count="12">
        <s v="Baguette"/>
        <s v="Choc Chip Cookie"/>
        <s v="Pie"/>
        <s v="Croissant"/>
        <s v="Rosemary"/>
        <s v="Bread Special"/>
        <s v="Tart"/>
        <s v="Serving Bundle"/>
        <s v="Sugar Cookie"/>
        <s v="Brownie"/>
        <s v="Whole Wheat"/>
        <s v="Sourdough"/>
      </sharedItems>
    </cacheField>
    <cacheField name="Category" numFmtId="0">
      <sharedItems count="4">
        <s v="Bread"/>
        <s v="Snack"/>
        <s v="Pastry"/>
        <s v="Paper Goods"/>
      </sharedItems>
    </cacheField>
    <cacheField name="Day" numFmtId="0">
      <sharedItems/>
    </cacheField>
    <cacheField name="Units Sold" numFmtId="0">
      <sharedItems containsSemiMixedTypes="0" containsString="0" containsNumber="1" containsInteger="1" minValue="1" maxValue="72"/>
    </cacheField>
    <cacheField name="Unit Price" numFmtId="44">
      <sharedItems containsSemiMixedTypes="0" containsString="0" containsNumber="1" minValue="0.75" maxValue="12"/>
    </cacheField>
    <cacheField name="Total Sale" numFmtId="44">
      <sharedItems containsSemiMixedTypes="0" containsString="0" containsNumber="1" minValue="2.29" maxValue="105"/>
    </cacheField>
    <cacheField name="Cost per Unit" numFmtId="44">
      <sharedItems containsSemiMixedTypes="0" containsString="0" containsNumber="1" minValue="0.65" maxValue="10.5"/>
    </cacheField>
    <cacheField name="Order Profit" numFmtId="44">
      <sharedItems containsSemiMixedTypes="0" containsString="0" containsNumber="1" minValue="0.29000000000000004" maxValue="16.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x v="0"/>
    <s v="Sunday"/>
    <n v="2"/>
    <n v="2.29"/>
    <n v="4.58"/>
    <n v="2"/>
    <n v="0.58000000000000007"/>
  </r>
  <r>
    <x v="0"/>
    <x v="1"/>
    <x v="1"/>
    <s v="Sunday"/>
    <n v="12"/>
    <n v="0.75"/>
    <n v="9"/>
    <n v="0.65"/>
    <n v="1.1999999999999993"/>
  </r>
  <r>
    <x v="1"/>
    <x v="2"/>
    <x v="2"/>
    <s v="Sunday"/>
    <n v="2"/>
    <n v="12"/>
    <n v="24"/>
    <n v="10.5"/>
    <n v="3"/>
  </r>
  <r>
    <x v="1"/>
    <x v="3"/>
    <x v="2"/>
    <s v="Sunday"/>
    <n v="6"/>
    <n v="1.75"/>
    <n v="10.5"/>
    <n v="1.6"/>
    <n v="0.89999999999999858"/>
  </r>
  <r>
    <x v="1"/>
    <x v="4"/>
    <x v="0"/>
    <s v="Sunday"/>
    <n v="2"/>
    <n v="2.29"/>
    <n v="4.58"/>
    <n v="2"/>
    <n v="0.58000000000000007"/>
  </r>
  <r>
    <x v="2"/>
    <x v="5"/>
    <x v="0"/>
    <s v="Sunday"/>
    <n v="2"/>
    <n v="4.59"/>
    <n v="9.18"/>
    <n v="4.1500000000000004"/>
    <n v="0.87999999999999901"/>
  </r>
  <r>
    <x v="3"/>
    <x v="6"/>
    <x v="2"/>
    <s v="Sunday"/>
    <n v="1"/>
    <n v="6.25"/>
    <n v="6.25"/>
    <n v="5.75"/>
    <n v="0.5"/>
  </r>
  <r>
    <x v="3"/>
    <x v="7"/>
    <x v="3"/>
    <s v="Sunday"/>
    <n v="1"/>
    <n v="3"/>
    <n v="3"/>
    <n v="2"/>
    <n v="1"/>
  </r>
  <r>
    <x v="3"/>
    <x v="3"/>
    <x v="2"/>
    <s v="Sunday"/>
    <n v="12"/>
    <n v="1.75"/>
    <n v="21"/>
    <n v="1.6"/>
    <n v="1.7999999999999972"/>
  </r>
  <r>
    <x v="4"/>
    <x v="2"/>
    <x v="2"/>
    <s v="Sunday"/>
    <n v="1"/>
    <n v="12"/>
    <n v="12"/>
    <n v="10.5"/>
    <n v="1.5"/>
  </r>
  <r>
    <x v="5"/>
    <x v="5"/>
    <x v="0"/>
    <s v="Sunday"/>
    <n v="1"/>
    <n v="4.59"/>
    <n v="4.59"/>
    <n v="4.1500000000000004"/>
    <n v="0.4399999999999995"/>
  </r>
  <r>
    <x v="6"/>
    <x v="8"/>
    <x v="1"/>
    <s v="Sunday"/>
    <n v="24"/>
    <n v="0.75"/>
    <n v="18"/>
    <n v="0.65"/>
    <n v="2.3999999999999986"/>
  </r>
  <r>
    <x v="6"/>
    <x v="7"/>
    <x v="3"/>
    <s v="Sunday"/>
    <n v="2"/>
    <n v="3"/>
    <n v="6"/>
    <n v="2"/>
    <n v="2"/>
  </r>
  <r>
    <x v="6"/>
    <x v="9"/>
    <x v="1"/>
    <s v="Sunday"/>
    <n v="12"/>
    <n v="1"/>
    <n v="12"/>
    <n v="0.92"/>
    <n v="0.95999999999999908"/>
  </r>
  <r>
    <x v="7"/>
    <x v="9"/>
    <x v="1"/>
    <s v="Sunday"/>
    <n v="12"/>
    <n v="1"/>
    <n v="12"/>
    <n v="0.92"/>
    <n v="0.95999999999999908"/>
  </r>
  <r>
    <x v="8"/>
    <x v="3"/>
    <x v="2"/>
    <s v="Sunday"/>
    <n v="6"/>
    <n v="1.75"/>
    <n v="10.5"/>
    <n v="1.6"/>
    <n v="0.89999999999999858"/>
  </r>
  <r>
    <x v="9"/>
    <x v="10"/>
    <x v="0"/>
    <s v="Sunday"/>
    <n v="4"/>
    <n v="2.29"/>
    <n v="9.16"/>
    <n v="2"/>
    <n v="1.1600000000000001"/>
  </r>
  <r>
    <x v="10"/>
    <x v="6"/>
    <x v="2"/>
    <s v="Sunday"/>
    <n v="2"/>
    <n v="6.25"/>
    <n v="12.5"/>
    <n v="0.9"/>
    <n v="10.7"/>
  </r>
  <r>
    <x v="10"/>
    <x v="3"/>
    <x v="2"/>
    <s v="Sunday"/>
    <n v="6"/>
    <n v="1.75"/>
    <n v="10.5"/>
    <n v="1.6"/>
    <n v="0.89999999999999858"/>
  </r>
  <r>
    <x v="10"/>
    <x v="9"/>
    <x v="1"/>
    <s v="Sunday"/>
    <n v="24"/>
    <n v="1"/>
    <n v="24"/>
    <n v="0.92"/>
    <n v="1.9199999999999982"/>
  </r>
  <r>
    <x v="10"/>
    <x v="8"/>
    <x v="1"/>
    <s v="Sunday"/>
    <n v="72"/>
    <n v="0.75"/>
    <n v="54"/>
    <n v="0.65"/>
    <n v="7.1999999999999957"/>
  </r>
  <r>
    <x v="10"/>
    <x v="7"/>
    <x v="3"/>
    <s v="Sunday"/>
    <n v="6"/>
    <n v="3"/>
    <n v="18"/>
    <n v="2"/>
    <n v="6"/>
  </r>
  <r>
    <x v="11"/>
    <x v="3"/>
    <x v="2"/>
    <s v="Sunday"/>
    <n v="12"/>
    <n v="1.75"/>
    <n v="21"/>
    <n v="1.6"/>
    <n v="1.7999999999999972"/>
  </r>
  <r>
    <x v="11"/>
    <x v="11"/>
    <x v="0"/>
    <s v="Sunday"/>
    <n v="1"/>
    <n v="2.29"/>
    <n v="2.29"/>
    <n v="2"/>
    <n v="0.29000000000000004"/>
  </r>
  <r>
    <x v="11"/>
    <x v="6"/>
    <x v="2"/>
    <s v="Sunday"/>
    <n v="3"/>
    <n v="6.25"/>
    <n v="18.75"/>
    <n v="0.9"/>
    <n v="16.05"/>
  </r>
  <r>
    <x v="12"/>
    <x v="3"/>
    <x v="2"/>
    <s v="Sunday"/>
    <n v="12"/>
    <n v="1.75"/>
    <n v="21"/>
    <n v="1.6"/>
    <n v="1.7999999999999972"/>
  </r>
  <r>
    <x v="12"/>
    <x v="10"/>
    <x v="0"/>
    <s v="Sunday"/>
    <n v="1"/>
    <n v="2.29"/>
    <n v="2.29"/>
    <n v="2"/>
    <n v="0.29000000000000004"/>
  </r>
  <r>
    <x v="12"/>
    <x v="1"/>
    <x v="1"/>
    <s v="Sunday"/>
    <n v="36"/>
    <n v="0.75"/>
    <n v="27"/>
    <n v="0.65"/>
    <n v="3.5999999999999979"/>
  </r>
  <r>
    <x v="13"/>
    <x v="3"/>
    <x v="2"/>
    <s v="Sunday"/>
    <n v="18"/>
    <n v="1.75"/>
    <n v="31.5"/>
    <n v="1.6"/>
    <n v="2.6999999999999993"/>
  </r>
  <r>
    <x v="13"/>
    <x v="1"/>
    <x v="1"/>
    <s v="Sunday"/>
    <n v="48"/>
    <n v="0.75"/>
    <n v="36"/>
    <n v="0.65"/>
    <n v="4.7999999999999972"/>
  </r>
  <r>
    <x v="13"/>
    <x v="7"/>
    <x v="3"/>
    <s v="Sunday"/>
    <n v="4"/>
    <n v="3"/>
    <n v="12"/>
    <n v="2"/>
    <n v="4"/>
  </r>
  <r>
    <x v="13"/>
    <x v="3"/>
    <x v="2"/>
    <s v="Monday"/>
    <n v="12"/>
    <n v="1.75"/>
    <n v="21"/>
    <n v="1.6"/>
    <n v="1.7999999999999972"/>
  </r>
  <r>
    <x v="14"/>
    <x v="0"/>
    <x v="0"/>
    <s v="Monday"/>
    <n v="2"/>
    <n v="2.29"/>
    <n v="4.58"/>
    <n v="2"/>
    <n v="0.58000000000000007"/>
  </r>
  <r>
    <x v="14"/>
    <x v="6"/>
    <x v="2"/>
    <s v="Monday"/>
    <n v="2"/>
    <n v="6.25"/>
    <n v="12.5"/>
    <n v="0.9"/>
    <n v="10.7"/>
  </r>
  <r>
    <x v="14"/>
    <x v="2"/>
    <x v="2"/>
    <s v="Monday"/>
    <n v="1"/>
    <n v="12"/>
    <n v="12"/>
    <n v="10.5"/>
    <n v="1.5"/>
  </r>
  <r>
    <x v="14"/>
    <x v="3"/>
    <x v="2"/>
    <s v="Monday"/>
    <n v="24"/>
    <n v="1.75"/>
    <n v="42"/>
    <n v="1.6"/>
    <n v="3.5999999999999943"/>
  </r>
  <r>
    <x v="15"/>
    <x v="9"/>
    <x v="1"/>
    <s v="Monday"/>
    <n v="12"/>
    <n v="1"/>
    <n v="12"/>
    <n v="0.92"/>
    <n v="0.95999999999999908"/>
  </r>
  <r>
    <x v="15"/>
    <x v="5"/>
    <x v="0"/>
    <s v="Monday"/>
    <n v="1"/>
    <n v="4.59"/>
    <n v="4.59"/>
    <n v="4.1500000000000004"/>
    <n v="0.4399999999999995"/>
  </r>
  <r>
    <x v="16"/>
    <x v="9"/>
    <x v="1"/>
    <s v="Monday"/>
    <n v="36"/>
    <n v="1"/>
    <n v="36"/>
    <n v="0.92"/>
    <n v="2.8799999999999955"/>
  </r>
  <r>
    <x v="16"/>
    <x v="7"/>
    <x v="3"/>
    <s v="Monday"/>
    <n v="3"/>
    <n v="3"/>
    <n v="9"/>
    <n v="2"/>
    <n v="3"/>
  </r>
  <r>
    <x v="16"/>
    <x v="3"/>
    <x v="2"/>
    <s v="Monday"/>
    <n v="24"/>
    <n v="1.75"/>
    <n v="42"/>
    <n v="1.6"/>
    <n v="3.5999999999999943"/>
  </r>
  <r>
    <x v="17"/>
    <x v="0"/>
    <x v="0"/>
    <s v="Monday"/>
    <n v="1"/>
    <n v="2.29"/>
    <n v="2.29"/>
    <n v="2"/>
    <n v="0.29000000000000004"/>
  </r>
  <r>
    <x v="18"/>
    <x v="6"/>
    <x v="2"/>
    <s v="Monday"/>
    <n v="1"/>
    <n v="6.25"/>
    <n v="6.25"/>
    <n v="0.9"/>
    <n v="5.35"/>
  </r>
  <r>
    <x v="19"/>
    <x v="3"/>
    <x v="2"/>
    <s v="Tuesday"/>
    <n v="6"/>
    <n v="1.75"/>
    <n v="10.5"/>
    <n v="1.6"/>
    <n v="0.89999999999999858"/>
  </r>
  <r>
    <x v="20"/>
    <x v="10"/>
    <x v="0"/>
    <s v="Tuesday"/>
    <n v="2"/>
    <n v="2.29"/>
    <n v="4.58"/>
    <n v="2"/>
    <n v="0.58000000000000007"/>
  </r>
  <r>
    <x v="21"/>
    <x v="8"/>
    <x v="1"/>
    <s v="Tuesday"/>
    <n v="12"/>
    <n v="0.75"/>
    <n v="9"/>
    <n v="0.65"/>
    <n v="1.1999999999999993"/>
  </r>
  <r>
    <x v="21"/>
    <x v="2"/>
    <x v="2"/>
    <s v="Tuesday"/>
    <n v="2"/>
    <n v="12"/>
    <n v="24"/>
    <n v="10.5"/>
    <n v="3"/>
  </r>
  <r>
    <x v="21"/>
    <x v="9"/>
    <x v="1"/>
    <s v="Tuesday"/>
    <n v="12"/>
    <n v="1"/>
    <n v="12"/>
    <n v="0.92"/>
    <n v="0.95999999999999908"/>
  </r>
  <r>
    <x v="21"/>
    <x v="3"/>
    <x v="2"/>
    <s v="Tuesday"/>
    <n v="60"/>
    <n v="1.75"/>
    <n v="105"/>
    <n v="1.6"/>
    <n v="9"/>
  </r>
  <r>
    <x v="21"/>
    <x v="7"/>
    <x v="3"/>
    <s v="Tuesday"/>
    <n v="5"/>
    <n v="3"/>
    <n v="15"/>
    <n v="2"/>
    <n v="5"/>
  </r>
  <r>
    <x v="22"/>
    <x v="11"/>
    <x v="0"/>
    <s v="Tuesday"/>
    <n v="3"/>
    <n v="2.29"/>
    <n v="6.87"/>
    <n v="2"/>
    <n v="0.87000000000000011"/>
  </r>
  <r>
    <x v="23"/>
    <x v="6"/>
    <x v="2"/>
    <s v="Tuesday"/>
    <n v="1"/>
    <n v="6.25"/>
    <n v="6.25"/>
    <n v="0.9"/>
    <n v="5.35"/>
  </r>
  <r>
    <x v="24"/>
    <x v="3"/>
    <x v="2"/>
    <s v="Tuesday"/>
    <n v="18"/>
    <n v="1.75"/>
    <n v="31.5"/>
    <n v="1.6"/>
    <n v="2.6999999999999993"/>
  </r>
  <r>
    <x v="24"/>
    <x v="2"/>
    <x v="2"/>
    <s v="Tuesday"/>
    <n v="4"/>
    <n v="12"/>
    <n v="48"/>
    <n v="10.5"/>
    <n v="6"/>
  </r>
  <r>
    <x v="24"/>
    <x v="5"/>
    <x v="0"/>
    <s v="Tuesday"/>
    <n v="1"/>
    <n v="4.59"/>
    <n v="4.59"/>
    <n v="4.1500000000000004"/>
    <n v="0.4399999999999995"/>
  </r>
  <r>
    <x v="24"/>
    <x v="8"/>
    <x v="1"/>
    <s v="Tuesday"/>
    <n v="24"/>
    <n v="0.75"/>
    <n v="18"/>
    <n v="0.65"/>
    <n v="2.3999999999999986"/>
  </r>
  <r>
    <x v="24"/>
    <x v="7"/>
    <x v="3"/>
    <s v="Tuesday"/>
    <n v="2"/>
    <n v="3"/>
    <n v="6"/>
    <n v="2"/>
    <n v="2"/>
  </r>
  <r>
    <x v="25"/>
    <x v="2"/>
    <x v="2"/>
    <s v="Tuesday"/>
    <n v="2"/>
    <n v="12"/>
    <n v="24"/>
    <n v="10.5"/>
    <n v="3"/>
  </r>
  <r>
    <x v="25"/>
    <x v="9"/>
    <x v="1"/>
    <s v="Tuesday"/>
    <n v="6"/>
    <n v="1"/>
    <n v="6"/>
    <n v="0.92"/>
    <n v="0.4799999999999995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DCA77-6CB5-A54A-9AD3-4CFE2E7B531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Order #">
  <location ref="M9:O36" firstHeaderRow="0" firstDataRow="1" firstDataCol="1"/>
  <pivotFields count="9">
    <pivotField axis="axisRow"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pivotField showAll="0"/>
    <pivotField showAll="0"/>
    <pivotField showAll="0"/>
    <pivotField numFmtId="44" showAll="0"/>
    <pivotField dataField="1" numFmtId="44" showAll="0"/>
    <pivotField numFmtId="44" showAll="0"/>
    <pivotField dataField="1" numFmtId="44"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2">
    <i>
      <x/>
    </i>
    <i i="1">
      <x v="1"/>
    </i>
  </colItems>
  <dataFields count="2">
    <dataField name="Sum of Total Sale" fld="6" baseField="0" baseItem="0"/>
    <dataField name="Total Order Profit" fld="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20" dT="2023-03-29T15:00:23.59" personId="{3BB2E736-C67F-3C49-B43B-1C645C8410B9}" id="{8F693F86-F05C-C741-995C-7E04C7C125C7}">
    <text>Hint:  Start by calculating total sales.  Then your formula here should include reference to the assumption box to the left and the total sales.</text>
  </threadedComment>
  <threadedComment ref="G35" dT="2023-03-29T14:58:48.04" personId="{3BB2E736-C67F-3C49-B43B-1C645C8410B9}" id="{73B5FBD6-AA4C-9A4C-8131-0FCAD7E9BC4C}">
    <text>Hint:  Think about the relationship of Gross Profit to Sales and COGS.  Use the space below to show how you calculate this number.  Then link this cell to your calculation below.</text>
  </threadedComment>
  <threadedComment ref="H35" dT="2023-03-29T14:59:05.77" personId="{3BB2E736-C67F-3C49-B43B-1C645C8410B9}" id="{1AF2A3DE-D35F-EB47-AFBD-75149B6B9FE2}">
    <text>Hint:  Hint:  Think about the relationship of Gross Profit to Sales and COGS.  Hint:  Use the space below to show how you calculate this number.  Then link this cell to your calculation below.</text>
  </threadedComment>
  <threadedComment ref="G36" dT="2023-03-29T14:57:17.88" personId="{3BB2E736-C67F-3C49-B43B-1C645C8410B9}" id="{BC5AF58C-F561-7247-9CFB-04E5058DD3DC}">
    <text>Hint:  Use the space below show how you calculate this number.  Then link this cell to your calculation below.</text>
  </threadedComment>
  <threadedComment ref="H36" dT="2023-03-29T14:59:28.38" personId="{3BB2E736-C67F-3C49-B43B-1C645C8410B9}" id="{36FF8F03-BE36-044E-A2B4-2B431D06E41D}">
    <text xml:space="preserve">Hint:  Use the space below to show how you calculate this number.  Then link this cell to your calculation below.
</text>
  </threadedComment>
  <threadedComment ref="G38" dT="2023-03-28T17:36:48.70" personId="{3BB2E736-C67F-3C49-B43B-1C645C8410B9}" id="{7B68A362-7B76-434B-BFD0-A2F7CA2AC637}">
    <text xml:space="preserve">Enter beginning inventory as a negative.  This is the inventory you already have so will not need to purchase it.  Deduct it from the total needed to determine what must be purchased.
</text>
  </threadedComment>
  <threadedComment ref="H38" dT="2023-03-28T17:37:01.07" personId="{3BB2E736-C67F-3C49-B43B-1C645C8410B9}" id="{FF292B9F-1E01-E34E-A747-3541FA0A5371}">
    <text>Enter beginning inventory as a negative.  This is the inventory you already have so will not need to purchase it.  Deduct it from the total needed to determine what must be purchased.</text>
  </threadedComment>
  <threadedComment ref="F45" dT="2023-09-26T00:46:05.01" personId="{3BB2E736-C67F-3C49-B43B-1C645C8410B9}" id="{3123E8BE-7986-AD4D-B4C9-243E4C1DD7DB}">
    <text>Hint:  Sales % is 100%.  If you know GP, you can calculate tge COGS %.</text>
  </threadedComment>
  <threadedComment ref="G69" dT="2023-03-29T15:01:32.23" personId="{3BB2E736-C67F-3C49-B43B-1C645C8410B9}" id="{77D9B619-71C5-7B47-B819-A7E9DF489883}">
    <text>Hint:  Use the workspace below to perform your calculation.  Then link this cell to your calculated number.</text>
  </threadedComment>
  <threadedComment ref="H69" dT="2023-09-26T00:20:26.20" personId="{3BB2E736-C67F-3C49-B43B-1C645C8410B9}" id="{C1753804-1CFA-3644-8E2D-C618E2F4DC7B}">
    <text xml:space="preserve">Hint:  Use the workspace below to perform your calculation.  Then link this cell to your calculated number.
</text>
  </threadedComment>
  <threadedComment ref="G70" dT="2023-03-29T15:01:39.87" personId="{3BB2E736-C67F-3C49-B43B-1C645C8410B9}" id="{84A853C1-89C9-2D4A-AD93-305C2DE137E5}">
    <text>Hint:  Use the workspace below to perform your calculation.  Then link this cell to your calculated number.</text>
  </threadedComment>
  <threadedComment ref="H70" dT="2023-09-26T00:21:25.29" personId="{3BB2E736-C67F-3C49-B43B-1C645C8410B9}" id="{FCB9CAEF-20A3-4A47-B3E4-3F3EBE1E184F}">
    <text xml:space="preserve">Hint:  Use the workspace below to perform your calculation.  Then link this cell to your calculated number.
</text>
  </threadedComment>
  <threadedComment ref="G73" dT="2023-09-26T00:38:10.55" personId="{3BB2E736-C67F-3C49-B43B-1C645C8410B9}" id="{66D433D1-17AC-5C4E-A718-3C2BBBF959E3}">
    <text>Hint:  In accrual accounting, expenses are recognized when they are in incurred (i.e. used) not necessarily when the cash is paid.</text>
  </threadedComment>
  <threadedComment ref="G74" dT="2023-09-26T00:21:32.78" personId="{3BB2E736-C67F-3C49-B43B-1C645C8410B9}" id="{3842A6F0-B4D8-4F4B-87FB-645AD5E3C65F}">
    <text xml:space="preserve">Hint:  Use the workspace below to perform your calculation.  Then link this cell to your calculated number.
</text>
  </threadedComment>
  <threadedComment ref="H74" dT="2023-09-26T00:21:39.90" personId="{3BB2E736-C67F-3C49-B43B-1C645C8410B9}" id="{305D5492-F321-714D-A21D-6210DC81C7EE}">
    <text xml:space="preserve">Hint:  Use the workspace below to perform your calculation.  Then link this cell to your calculated number.
</text>
  </threadedComment>
  <threadedComment ref="D95" dT="2023-09-26T00:52:02.02" personId="{3BB2E736-C67F-3C49-B43B-1C645C8410B9}" id="{5DD2A583-1548-6A42-84E0-22154CEED411}">
    <text>Hint:  Bad Debt Expense is a % of credit sales that is not expected to be collected.  Cash sales are entirely collected but some sales on credit will not be collected.</text>
  </threadedComment>
  <threadedComment ref="G152" dT="2023-09-26T00:34:17.52" personId="{3BB2E736-C67F-3C49-B43B-1C645C8410B9}" id="{75AA367A-D0A7-894D-AAB2-1EF27F6D7F72}">
    <text>Hint:  Use the space below to explain calculation of commissions.  Then link this cell to the calculated commission expense below.</text>
  </threadedComment>
  <threadedComment ref="G153" dT="2023-09-26T00:35:34.49" personId="{3BB2E736-C67F-3C49-B43B-1C645C8410B9}" id="{8238A32B-3134-C04C-914D-0FF5BB039D57}">
    <text>Hint:  Use the space below to explain calculations performed in calculating the lease.  Then reference this cell to the calculation below..</text>
  </threadedComment>
  <threadedComment ref="C160" dT="2023-09-26T01:34:03.87" personId="{3BB2E736-C67F-3C49-B43B-1C645C8410B9}" id="{FDD2124B-A208-6746-BFD6-2123CE57EC46}">
    <text xml:space="preserve">Hint:  This is a cash payments budget. Focus on when the cash is paid out.   </text>
  </threadedComment>
  <threadedComment ref="G179" dT="2023-09-26T00:31:43.29" personId="{3BB2E736-C67F-3C49-B43B-1C645C8410B9}" id="{66075BBC-5746-4B46-87A7-20469284C54B}">
    <text>Hint:  The starting cash is given above.</text>
  </threadedComment>
  <threadedComment ref="G181" dT="2023-03-28T17:47:35.86" personId="{3BB2E736-C67F-3C49-B43B-1C645C8410B9}" id="{212E1CD9-1EBF-CB4B-B86B-1B8F533CD552}">
    <text>Hint: Enter total expected cash payments as a negative number.</text>
  </threadedComment>
  <threadedComment ref="H181" dT="2023-03-28T17:47:48.44" personId="{3BB2E736-C67F-3C49-B43B-1C645C8410B9}" id="{D2CE71E1-0408-9948-8230-655188973603}">
    <text>Hint:  Enter payments as a negative number.</text>
  </threadedComment>
  <threadedComment ref="G183" dT="2023-09-26T00:27:56.50" personId="{3BB2E736-C67F-3C49-B43B-1C645C8410B9}" id="{FB5647B5-4B81-E545-A197-99F6D8EA6A38}">
    <text>Hint:  Is there enough cash to meet company needs?  If yes, then no need to borrow.  If no, then need a loan.</text>
  </threadedComment>
  <threadedComment ref="H183" dT="2023-09-26T00:27:15.03" personId="{3BB2E736-C67F-3C49-B43B-1C645C8410B9}" id="{8AEC318D-3DB6-AD4B-9540-904755E8F425}">
    <text>Hint:  Is there enough cash?  If not, then they need to borrow enough to get the level of cash they need.  A company will most likely borrow this from a line of credit.</text>
  </threadedComment>
  <threadedComment ref="G184" dT="2023-09-26T00:29:24.08" personId="{3BB2E736-C67F-3C49-B43B-1C645C8410B9}" id="{E922DCB3-34BE-4D40-81C6-65D1390A9545}">
    <text>Hint: Is there any outstanding loan balance?  If yes, the next question is whether there is extra cash.  If there is extra cash, then pay down the loan.  In this case, there is no outstanding loan to pay.</text>
  </threadedComment>
  <threadedComment ref="G185" dT="2023-09-26T00:30:15.11" personId="{3BB2E736-C67F-3C49-B43B-1C645C8410B9}" id="{294BBBFB-7992-3044-9500-68DB3EC65D6F}">
    <text>Hint:  If there had been a loan balance from the previous period, then the company would owe interest on having borrowed that money.</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AEF2-09ED-A045-AC37-A6A666D60EF3}">
  <dimension ref="B1:E16"/>
  <sheetViews>
    <sheetView tabSelected="1" zoomScale="174" zoomScaleNormal="174" workbookViewId="0">
      <selection activeCell="A7" sqref="A7:XFD7"/>
    </sheetView>
  </sheetViews>
  <sheetFormatPr baseColWidth="10" defaultRowHeight="16" x14ac:dyDescent="0.2"/>
  <cols>
    <col min="1" max="1" width="1.5" customWidth="1"/>
    <col min="2" max="2" width="23.33203125" customWidth="1"/>
    <col min="3" max="3" width="15.5" customWidth="1"/>
    <col min="4" max="4" width="14" customWidth="1"/>
  </cols>
  <sheetData>
    <row r="1" spans="2:5" ht="10" customHeight="1" x14ac:dyDescent="0.2"/>
    <row r="2" spans="2:5" ht="19" x14ac:dyDescent="0.25">
      <c r="B2" s="1" t="s">
        <v>40</v>
      </c>
      <c r="C2" s="78"/>
      <c r="D2" s="78"/>
      <c r="E2" s="78"/>
    </row>
    <row r="3" spans="2:5" x14ac:dyDescent="0.2">
      <c r="B3" s="78" t="s">
        <v>106</v>
      </c>
      <c r="C3" s="78"/>
      <c r="D3" s="78"/>
      <c r="E3" s="78"/>
    </row>
    <row r="4" spans="2:5" x14ac:dyDescent="0.2">
      <c r="B4" s="86" t="s">
        <v>99</v>
      </c>
      <c r="C4" s="78"/>
      <c r="D4" s="78"/>
      <c r="E4" s="78"/>
    </row>
    <row r="5" spans="2:5" x14ac:dyDescent="0.2">
      <c r="B5" s="86" t="s">
        <v>105</v>
      </c>
      <c r="C5" s="78"/>
      <c r="D5" s="78"/>
      <c r="E5" s="78"/>
    </row>
    <row r="6" spans="2:5" x14ac:dyDescent="0.2">
      <c r="B6" s="168" t="s">
        <v>262</v>
      </c>
      <c r="C6" s="78"/>
      <c r="D6" s="78"/>
      <c r="E6" s="78"/>
    </row>
    <row r="7" spans="2:5" x14ac:dyDescent="0.2">
      <c r="B7" s="78"/>
      <c r="C7" s="78"/>
      <c r="D7" s="78"/>
      <c r="E7" s="78"/>
    </row>
    <row r="8" spans="2:5" x14ac:dyDescent="0.2">
      <c r="B8" s="170" t="s">
        <v>40</v>
      </c>
      <c r="C8" s="170"/>
      <c r="D8" s="170"/>
      <c r="E8" s="78"/>
    </row>
    <row r="9" spans="2:5" x14ac:dyDescent="0.2">
      <c r="B9" s="79" t="s">
        <v>104</v>
      </c>
      <c r="C9" s="79" t="s">
        <v>102</v>
      </c>
      <c r="D9" s="80" t="s">
        <v>103</v>
      </c>
      <c r="E9" s="78"/>
    </row>
    <row r="10" spans="2:5" x14ac:dyDescent="0.2">
      <c r="B10" s="81" t="s">
        <v>39</v>
      </c>
      <c r="C10" s="82">
        <v>22918</v>
      </c>
      <c r="D10" s="83">
        <f>C10/C$15</f>
        <v>0.18258590332937644</v>
      </c>
      <c r="E10" s="78"/>
    </row>
    <row r="11" spans="2:5" x14ac:dyDescent="0.2">
      <c r="B11" s="81" t="s">
        <v>1</v>
      </c>
      <c r="C11" s="82">
        <v>83655</v>
      </c>
      <c r="D11" s="83">
        <f t="shared" ref="D11:D14" si="0">C11/C$15</f>
        <v>0.66647280491399707</v>
      </c>
      <c r="E11" s="78"/>
    </row>
    <row r="12" spans="2:5" x14ac:dyDescent="0.2">
      <c r="B12" s="81" t="s">
        <v>38</v>
      </c>
      <c r="C12" s="82">
        <v>2147</v>
      </c>
      <c r="D12" s="83">
        <f t="shared" si="0"/>
        <v>1.7104980122531251E-2</v>
      </c>
      <c r="E12" s="78"/>
    </row>
    <row r="13" spans="2:5" x14ac:dyDescent="0.2">
      <c r="B13" s="81" t="s">
        <v>9</v>
      </c>
      <c r="C13" s="82">
        <v>12976</v>
      </c>
      <c r="D13" s="83">
        <f t="shared" si="0"/>
        <v>0.10337877134139055</v>
      </c>
      <c r="E13" s="78"/>
    </row>
    <row r="14" spans="2:5" x14ac:dyDescent="0.2">
      <c r="B14" s="81" t="s">
        <v>29</v>
      </c>
      <c r="C14" s="82">
        <v>3823</v>
      </c>
      <c r="D14" s="83">
        <f t="shared" si="0"/>
        <v>3.0457540292704689E-2</v>
      </c>
      <c r="E14" s="78"/>
    </row>
    <row r="15" spans="2:5" x14ac:dyDescent="0.2">
      <c r="B15" s="84" t="s">
        <v>28</v>
      </c>
      <c r="C15" s="85">
        <f>SUM(C10:C14)</f>
        <v>125519</v>
      </c>
      <c r="D15" s="78"/>
      <c r="E15" s="78"/>
    </row>
    <row r="16" spans="2:5" x14ac:dyDescent="0.2">
      <c r="B16" s="78"/>
      <c r="C16" s="78"/>
      <c r="D16" s="78"/>
      <c r="E16" s="78"/>
    </row>
  </sheetData>
  <mergeCells count="1">
    <mergeCell ref="B8:D8"/>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E6B5-0654-A040-8874-B96D4C023363}">
  <dimension ref="B1:I65"/>
  <sheetViews>
    <sheetView zoomScale="120" zoomScaleNormal="120" workbookViewId="0">
      <selection activeCell="B17" sqref="B17"/>
    </sheetView>
  </sheetViews>
  <sheetFormatPr baseColWidth="10" defaultColWidth="8.83203125" defaultRowHeight="15" x14ac:dyDescent="0.2"/>
  <cols>
    <col min="1" max="1" width="0.83203125" style="3" customWidth="1"/>
    <col min="2" max="2" width="72.6640625" style="3" customWidth="1"/>
    <col min="3" max="3" width="16" style="3" customWidth="1"/>
    <col min="4" max="4" width="8.83203125" style="3"/>
    <col min="5" max="5" width="14.6640625" style="3" bestFit="1" customWidth="1"/>
    <col min="6" max="6" width="8.83203125" style="3"/>
    <col min="7" max="7" width="10.6640625" style="3" bestFit="1" customWidth="1"/>
    <col min="8" max="8" width="8.83203125" style="3" bestFit="1" customWidth="1"/>
    <col min="9" max="16384" width="8.83203125" style="3"/>
  </cols>
  <sheetData>
    <row r="1" spans="2:9" ht="5" customHeight="1" thickBot="1" x14ac:dyDescent="0.25"/>
    <row r="2" spans="2:9" x14ac:dyDescent="0.2">
      <c r="B2" s="8" t="s">
        <v>256</v>
      </c>
      <c r="C2" s="45"/>
      <c r="D2" s="45"/>
      <c r="E2" s="46"/>
    </row>
    <row r="3" spans="2:9" x14ac:dyDescent="0.2">
      <c r="B3" s="47" t="s">
        <v>255</v>
      </c>
      <c r="C3" s="48"/>
      <c r="D3" s="48"/>
      <c r="E3" s="49"/>
    </row>
    <row r="4" spans="2:9" ht="23" customHeight="1" x14ac:dyDescent="0.2">
      <c r="B4" s="47" t="s">
        <v>251</v>
      </c>
      <c r="C4" s="48"/>
      <c r="D4" s="48"/>
      <c r="E4" s="49"/>
    </row>
    <row r="5" spans="2:9" x14ac:dyDescent="0.2">
      <c r="B5" s="47" t="s">
        <v>252</v>
      </c>
      <c r="C5" s="48"/>
      <c r="D5" s="48"/>
      <c r="E5" s="49"/>
    </row>
    <row r="6" spans="2:9" x14ac:dyDescent="0.2">
      <c r="B6" s="47" t="s">
        <v>253</v>
      </c>
      <c r="C6" s="48"/>
      <c r="D6" s="48"/>
      <c r="E6" s="49"/>
    </row>
    <row r="7" spans="2:9" x14ac:dyDescent="0.2">
      <c r="B7" s="47" t="s">
        <v>254</v>
      </c>
      <c r="C7" s="48"/>
      <c r="D7" s="48"/>
      <c r="E7" s="49"/>
    </row>
    <row r="8" spans="2:9" ht="16" thickBot="1" x14ac:dyDescent="0.25">
      <c r="B8" s="171"/>
      <c r="C8" s="172"/>
      <c r="D8" s="172"/>
      <c r="E8" s="173"/>
    </row>
    <row r="9" spans="2:9" ht="9" customHeight="1" x14ac:dyDescent="0.2"/>
    <row r="10" spans="2:9" ht="9" customHeight="1" x14ac:dyDescent="0.2"/>
    <row r="11" spans="2:9" x14ac:dyDescent="0.2">
      <c r="B11" s="174" t="s">
        <v>48</v>
      </c>
      <c r="C11" s="174"/>
      <c r="D11" s="174"/>
      <c r="E11" s="174"/>
      <c r="F11" s="174"/>
      <c r="G11" s="174"/>
      <c r="H11" s="174"/>
    </row>
    <row r="12" spans="2:9" x14ac:dyDescent="0.2">
      <c r="B12" s="174" t="s">
        <v>47</v>
      </c>
      <c r="C12" s="174"/>
      <c r="D12" s="174"/>
      <c r="E12" s="174"/>
      <c r="F12" s="174"/>
      <c r="G12" s="174"/>
      <c r="H12" s="174"/>
    </row>
    <row r="13" spans="2:9" x14ac:dyDescent="0.2">
      <c r="B13" s="174" t="s">
        <v>46</v>
      </c>
      <c r="C13" s="174"/>
      <c r="D13" s="174"/>
      <c r="E13" s="174"/>
      <c r="F13" s="174"/>
      <c r="G13" s="174"/>
      <c r="H13" s="174"/>
      <c r="I13" s="4"/>
    </row>
    <row r="15" spans="2:9" x14ac:dyDescent="0.2">
      <c r="C15" s="7" t="s">
        <v>45</v>
      </c>
      <c r="D15" s="7" t="s">
        <v>43</v>
      </c>
      <c r="E15" s="7" t="s">
        <v>44</v>
      </c>
      <c r="F15" s="7" t="s">
        <v>43</v>
      </c>
      <c r="G15" s="7" t="s">
        <v>42</v>
      </c>
      <c r="H15" s="7" t="s">
        <v>41</v>
      </c>
    </row>
    <row r="16" spans="2:9" x14ac:dyDescent="0.2">
      <c r="B16" s="4" t="s">
        <v>40</v>
      </c>
      <c r="C16" s="50"/>
      <c r="E16" s="50"/>
    </row>
    <row r="17" spans="2:8" x14ac:dyDescent="0.2">
      <c r="B17" s="3" t="s">
        <v>39</v>
      </c>
      <c r="C17" s="50">
        <v>5911</v>
      </c>
      <c r="D17" s="51">
        <f>C17/C$31</f>
        <v>0.10984742896433815</v>
      </c>
      <c r="E17" s="50">
        <v>8511</v>
      </c>
      <c r="F17" s="51">
        <f>E17/E$31</f>
        <v>0.16607477364970341</v>
      </c>
      <c r="G17" s="52">
        <f>C17-E17</f>
        <v>-2600</v>
      </c>
      <c r="H17" s="53">
        <f>G17/E17</f>
        <v>-0.30548701680178592</v>
      </c>
    </row>
    <row r="18" spans="2:8" x14ac:dyDescent="0.2">
      <c r="B18" s="3" t="s">
        <v>1</v>
      </c>
      <c r="C18" s="50">
        <v>13902</v>
      </c>
      <c r="D18" s="51">
        <f>C18/C$31</f>
        <v>0.25834866477114343</v>
      </c>
      <c r="E18" s="50">
        <v>10653</v>
      </c>
      <c r="F18" s="51">
        <f>E18/E$31</f>
        <v>0.20787152669372463</v>
      </c>
      <c r="G18" s="52">
        <f>C18-E18</f>
        <v>3249</v>
      </c>
      <c r="H18" s="53">
        <f>G18/E18</f>
        <v>0.30498451140523797</v>
      </c>
    </row>
    <row r="19" spans="2:8" x14ac:dyDescent="0.2">
      <c r="B19" s="3" t="s">
        <v>38</v>
      </c>
      <c r="C19" s="54">
        <v>1760</v>
      </c>
      <c r="D19" s="55">
        <f>C19/C$31</f>
        <v>3.270706732824144E-2</v>
      </c>
      <c r="E19" s="54">
        <v>1592</v>
      </c>
      <c r="F19" s="55">
        <f>E19/E$31</f>
        <v>3.1064626912269747E-2</v>
      </c>
      <c r="G19" s="56">
        <f>C19-E19</f>
        <v>168</v>
      </c>
      <c r="H19" s="57">
        <f>G19/E19</f>
        <v>0.10552763819095477</v>
      </c>
    </row>
    <row r="20" spans="2:8" x14ac:dyDescent="0.2">
      <c r="B20" s="6" t="s">
        <v>37</v>
      </c>
      <c r="C20" s="50">
        <v>21573</v>
      </c>
      <c r="D20" s="51">
        <f>C20/C$31</f>
        <v>0.40090316106372303</v>
      </c>
      <c r="E20" s="50">
        <v>20756</v>
      </c>
      <c r="F20" s="51">
        <f>E20/E$31</f>
        <v>0.40501092725569776</v>
      </c>
      <c r="G20" s="52">
        <f>C20-E20</f>
        <v>817</v>
      </c>
      <c r="H20" s="53">
        <f>G20/E20</f>
        <v>3.9362112160339177E-2</v>
      </c>
    </row>
    <row r="21" spans="2:8" x14ac:dyDescent="0.2">
      <c r="B21" s="3" t="s">
        <v>9</v>
      </c>
      <c r="C21" s="58"/>
      <c r="D21" s="59"/>
      <c r="E21" s="58"/>
      <c r="F21" s="59"/>
      <c r="G21" s="60"/>
      <c r="H21" s="61"/>
    </row>
    <row r="22" spans="2:8" x14ac:dyDescent="0.2">
      <c r="B22" s="62" t="s">
        <v>36</v>
      </c>
      <c r="C22" s="50">
        <v>6164</v>
      </c>
      <c r="D22" s="51">
        <f t="shared" ref="D22:D31" si="0">C22/C$31</f>
        <v>0.11454906989277286</v>
      </c>
      <c r="E22" s="50">
        <v>6141</v>
      </c>
      <c r="F22" s="51">
        <f t="shared" ref="F22:F31" si="1">E22/E$31</f>
        <v>0.11982906650015611</v>
      </c>
      <c r="G22" s="52">
        <f t="shared" ref="G22:G31" si="2">C22-E22</f>
        <v>23</v>
      </c>
      <c r="H22" s="53">
        <f t="shared" ref="H22:H31" si="3">G22/E22</f>
        <v>3.7453183520599251E-3</v>
      </c>
    </row>
    <row r="23" spans="2:8" x14ac:dyDescent="0.2">
      <c r="B23" s="62" t="s">
        <v>8</v>
      </c>
      <c r="C23" s="50">
        <v>32985</v>
      </c>
      <c r="D23" s="51">
        <f t="shared" si="0"/>
        <v>0.61297875898979759</v>
      </c>
      <c r="E23" s="50">
        <v>31557</v>
      </c>
      <c r="F23" s="51">
        <f t="shared" si="1"/>
        <v>0.61577037152669367</v>
      </c>
      <c r="G23" s="52">
        <f t="shared" si="2"/>
        <v>1428</v>
      </c>
      <c r="H23" s="53">
        <f t="shared" si="3"/>
        <v>4.5251449757581517E-2</v>
      </c>
    </row>
    <row r="24" spans="2:8" x14ac:dyDescent="0.2">
      <c r="B24" s="62" t="s">
        <v>35</v>
      </c>
      <c r="C24" s="50">
        <v>6407</v>
      </c>
      <c r="D24" s="51">
        <f t="shared" si="0"/>
        <v>0.119064875211388</v>
      </c>
      <c r="E24" s="50">
        <v>5914</v>
      </c>
      <c r="F24" s="51">
        <f t="shared" si="1"/>
        <v>0.11539962535123321</v>
      </c>
      <c r="G24" s="52">
        <f t="shared" si="2"/>
        <v>493</v>
      </c>
      <c r="H24" s="53">
        <f t="shared" si="3"/>
        <v>8.3361515049036189E-2</v>
      </c>
    </row>
    <row r="25" spans="2:8" x14ac:dyDescent="0.2">
      <c r="B25" s="62" t="s">
        <v>34</v>
      </c>
      <c r="C25" s="50">
        <v>2505</v>
      </c>
      <c r="D25" s="51">
        <f t="shared" si="0"/>
        <v>4.6551820259798184E-2</v>
      </c>
      <c r="E25" s="50">
        <v>2765</v>
      </c>
      <c r="F25" s="51">
        <f t="shared" si="1"/>
        <v>5.3953325007805183E-2</v>
      </c>
      <c r="G25" s="52">
        <f t="shared" si="2"/>
        <v>-260</v>
      </c>
      <c r="H25" s="53">
        <f t="shared" si="3"/>
        <v>-9.403254972875226E-2</v>
      </c>
    </row>
    <row r="26" spans="2:8" x14ac:dyDescent="0.2">
      <c r="B26" s="62" t="s">
        <v>33</v>
      </c>
      <c r="C26" s="50">
        <v>1257</v>
      </c>
      <c r="D26" s="51">
        <f t="shared" si="0"/>
        <v>2.3359536154317892E-2</v>
      </c>
      <c r="E26" s="50">
        <v>780</v>
      </c>
      <c r="F26" s="51">
        <f t="shared" si="1"/>
        <v>1.5220106150483921E-2</v>
      </c>
      <c r="G26" s="52">
        <f t="shared" si="2"/>
        <v>477</v>
      </c>
      <c r="H26" s="53">
        <f t="shared" si="3"/>
        <v>0.61153846153846159</v>
      </c>
    </row>
    <row r="27" spans="2:8" x14ac:dyDescent="0.2">
      <c r="B27" s="62" t="s">
        <v>32</v>
      </c>
      <c r="C27" s="54">
        <v>-21137</v>
      </c>
      <c r="D27" s="55">
        <f t="shared" si="0"/>
        <v>-0.3928007284755905</v>
      </c>
      <c r="E27" s="54">
        <v>-20278</v>
      </c>
      <c r="F27" s="55">
        <f t="shared" si="1"/>
        <v>-0.39568373399937556</v>
      </c>
      <c r="G27" s="56">
        <f t="shared" si="2"/>
        <v>-859</v>
      </c>
      <c r="H27" s="57">
        <f t="shared" si="3"/>
        <v>4.2361179603511191E-2</v>
      </c>
    </row>
    <row r="28" spans="2:8" x14ac:dyDescent="0.2">
      <c r="B28" s="6" t="s">
        <v>31</v>
      </c>
      <c r="C28" s="50">
        <v>28181</v>
      </c>
      <c r="D28" s="51">
        <f t="shared" si="0"/>
        <v>0.52370333203248409</v>
      </c>
      <c r="E28" s="50">
        <v>26879</v>
      </c>
      <c r="F28" s="51">
        <f t="shared" si="1"/>
        <v>0.52448876053699656</v>
      </c>
      <c r="G28" s="52">
        <f t="shared" si="2"/>
        <v>1302</v>
      </c>
      <c r="H28" s="53">
        <f t="shared" si="3"/>
        <v>4.8439302057368204E-2</v>
      </c>
    </row>
    <row r="29" spans="2:8" x14ac:dyDescent="0.2">
      <c r="B29" s="3" t="s">
        <v>30</v>
      </c>
      <c r="C29" s="50">
        <v>2556</v>
      </c>
      <c r="D29" s="51">
        <f t="shared" si="0"/>
        <v>4.7499581869877905E-2</v>
      </c>
      <c r="E29" s="50">
        <v>2227</v>
      </c>
      <c r="F29" s="51">
        <f t="shared" si="1"/>
        <v>4.3455354355291916E-2</v>
      </c>
      <c r="G29" s="52">
        <f t="shared" si="2"/>
        <v>329</v>
      </c>
      <c r="H29" s="53">
        <f t="shared" si="3"/>
        <v>0.14773237539290526</v>
      </c>
    </row>
    <row r="30" spans="2:8" x14ac:dyDescent="0.2">
      <c r="B30" s="3" t="s">
        <v>29</v>
      </c>
      <c r="C30" s="50">
        <v>1501</v>
      </c>
      <c r="D30" s="51">
        <f t="shared" si="0"/>
        <v>2.7893925033914999E-2</v>
      </c>
      <c r="E30" s="50">
        <v>1386</v>
      </c>
      <c r="F30" s="51">
        <f t="shared" si="1"/>
        <v>2.7044957852013739E-2</v>
      </c>
      <c r="G30" s="52">
        <f t="shared" si="2"/>
        <v>115</v>
      </c>
      <c r="H30" s="53">
        <f t="shared" si="3"/>
        <v>8.2972582972582976E-2</v>
      </c>
    </row>
    <row r="31" spans="2:8" ht="16" thickBot="1" x14ac:dyDescent="0.25">
      <c r="B31" s="4" t="s">
        <v>28</v>
      </c>
      <c r="C31" s="5">
        <v>53811</v>
      </c>
      <c r="D31" s="63">
        <f t="shared" si="0"/>
        <v>1</v>
      </c>
      <c r="E31" s="5">
        <v>51248</v>
      </c>
      <c r="F31" s="63">
        <f t="shared" si="1"/>
        <v>1</v>
      </c>
      <c r="G31" s="64">
        <f t="shared" si="2"/>
        <v>2563</v>
      </c>
      <c r="H31" s="65">
        <f t="shared" si="3"/>
        <v>5.0011707773961911E-2</v>
      </c>
    </row>
    <row r="32" spans="2:8" ht="16" thickTop="1" x14ac:dyDescent="0.2">
      <c r="B32" s="4"/>
      <c r="C32" s="50"/>
      <c r="D32" s="66"/>
      <c r="E32" s="66"/>
      <c r="F32" s="66"/>
    </row>
    <row r="33" spans="2:8" x14ac:dyDescent="0.2">
      <c r="B33" s="4"/>
      <c r="C33" s="50"/>
      <c r="D33" s="66"/>
      <c r="E33" s="66"/>
      <c r="F33" s="66"/>
    </row>
    <row r="34" spans="2:8" x14ac:dyDescent="0.2">
      <c r="B34" s="4" t="s">
        <v>27</v>
      </c>
      <c r="C34" s="50"/>
    </row>
    <row r="35" spans="2:8" x14ac:dyDescent="0.2">
      <c r="B35" s="3" t="s">
        <v>26</v>
      </c>
      <c r="C35" s="50">
        <v>15478</v>
      </c>
      <c r="D35" s="51">
        <f t="shared" ref="D35:D43" si="4">C35/$C$31</f>
        <v>0.28763635687870509</v>
      </c>
      <c r="E35" s="50">
        <v>12859</v>
      </c>
      <c r="F35" s="51">
        <f t="shared" ref="F35:F43" si="5">E35/$E$31</f>
        <v>0.25091710896034969</v>
      </c>
      <c r="G35" s="52">
        <f t="shared" ref="G35:G43" si="6">C35-E35</f>
        <v>2619</v>
      </c>
      <c r="H35" s="53">
        <f t="shared" ref="H35:H43" si="7">G35/E35</f>
        <v>0.20367058091608989</v>
      </c>
    </row>
    <row r="36" spans="2:8" x14ac:dyDescent="0.2">
      <c r="B36" s="3" t="s">
        <v>25</v>
      </c>
      <c r="C36" s="67">
        <v>6098</v>
      </c>
      <c r="D36" s="68">
        <f t="shared" si="4"/>
        <v>0.1133225548679638</v>
      </c>
      <c r="E36" s="67">
        <v>6122</v>
      </c>
      <c r="F36" s="68">
        <f t="shared" si="5"/>
        <v>0.1194583203246956</v>
      </c>
      <c r="G36" s="52">
        <f t="shared" si="6"/>
        <v>-24</v>
      </c>
      <c r="H36" s="53">
        <f t="shared" si="7"/>
        <v>-3.9202874877491013E-3</v>
      </c>
    </row>
    <row r="37" spans="2:8" x14ac:dyDescent="0.2">
      <c r="B37" s="3" t="s">
        <v>24</v>
      </c>
      <c r="C37" s="54">
        <v>171</v>
      </c>
      <c r="D37" s="55">
        <f t="shared" si="4"/>
        <v>3.1777889279143668E-3</v>
      </c>
      <c r="E37" s="54">
        <v>1144</v>
      </c>
      <c r="F37" s="55">
        <f t="shared" si="5"/>
        <v>2.2322822354043086E-2</v>
      </c>
      <c r="G37" s="56">
        <f t="shared" si="6"/>
        <v>-973</v>
      </c>
      <c r="H37" s="57">
        <f t="shared" si="7"/>
        <v>-0.85052447552447552</v>
      </c>
    </row>
    <row r="38" spans="2:8" x14ac:dyDescent="0.2">
      <c r="B38" s="6" t="s">
        <v>23</v>
      </c>
      <c r="C38" s="50">
        <v>21747</v>
      </c>
      <c r="D38" s="51">
        <f t="shared" si="4"/>
        <v>0.40413670067458324</v>
      </c>
      <c r="E38" s="50">
        <v>20125</v>
      </c>
      <c r="F38" s="51">
        <f t="shared" si="5"/>
        <v>0.39269825163908834</v>
      </c>
      <c r="G38" s="52">
        <f t="shared" si="6"/>
        <v>1622</v>
      </c>
      <c r="H38" s="53">
        <f t="shared" si="7"/>
        <v>8.0596273291925466E-2</v>
      </c>
    </row>
    <row r="39" spans="2:8" x14ac:dyDescent="0.2">
      <c r="B39" s="3" t="s">
        <v>22</v>
      </c>
      <c r="C39" s="50">
        <v>13549</v>
      </c>
      <c r="D39" s="51">
        <f t="shared" si="4"/>
        <v>0.25178866774451319</v>
      </c>
      <c r="E39" s="50">
        <v>11536</v>
      </c>
      <c r="F39" s="51">
        <f t="shared" si="5"/>
        <v>0.22510146737433656</v>
      </c>
      <c r="G39" s="52">
        <f t="shared" si="6"/>
        <v>2013</v>
      </c>
      <c r="H39" s="53">
        <f t="shared" si="7"/>
        <v>0.17449722607489598</v>
      </c>
    </row>
    <row r="40" spans="2:8" x14ac:dyDescent="0.2">
      <c r="B40" s="3" t="s">
        <v>21</v>
      </c>
      <c r="C40" s="50">
        <v>2493</v>
      </c>
      <c r="D40" s="51">
        <f t="shared" si="4"/>
        <v>4.6328817528014717E-2</v>
      </c>
      <c r="E40" s="50">
        <v>2218</v>
      </c>
      <c r="F40" s="51">
        <f t="shared" si="5"/>
        <v>4.3279737745863252E-2</v>
      </c>
      <c r="G40" s="52">
        <f t="shared" si="6"/>
        <v>275</v>
      </c>
      <c r="H40" s="53">
        <f t="shared" si="7"/>
        <v>0.12398557258791704</v>
      </c>
    </row>
    <row r="41" spans="2:8" x14ac:dyDescent="0.2">
      <c r="B41" s="3" t="s">
        <v>20</v>
      </c>
      <c r="C41" s="67">
        <v>1566</v>
      </c>
      <c r="D41" s="68">
        <f t="shared" si="4"/>
        <v>2.9101856497742096E-2</v>
      </c>
      <c r="E41" s="67">
        <v>990</v>
      </c>
      <c r="F41" s="68">
        <f t="shared" si="5"/>
        <v>1.9317827037152669E-2</v>
      </c>
      <c r="G41" s="52">
        <f t="shared" si="6"/>
        <v>576</v>
      </c>
      <c r="H41" s="53">
        <f t="shared" si="7"/>
        <v>0.58181818181818179</v>
      </c>
    </row>
    <row r="42" spans="2:8" x14ac:dyDescent="0.2">
      <c r="B42" s="3" t="s">
        <v>19</v>
      </c>
      <c r="C42" s="54">
        <v>1629</v>
      </c>
      <c r="D42" s="55">
        <f t="shared" si="4"/>
        <v>3.0272620839605285E-2</v>
      </c>
      <c r="E42" s="54">
        <v>1939</v>
      </c>
      <c r="F42" s="55">
        <f t="shared" si="5"/>
        <v>3.7835622853574773E-2</v>
      </c>
      <c r="G42" s="56">
        <f t="shared" si="6"/>
        <v>-310</v>
      </c>
      <c r="H42" s="57">
        <f t="shared" si="7"/>
        <v>-0.15987622485817432</v>
      </c>
    </row>
    <row r="43" spans="2:8" x14ac:dyDescent="0.2">
      <c r="B43" s="6" t="s">
        <v>18</v>
      </c>
      <c r="C43" s="50">
        <v>19237</v>
      </c>
      <c r="D43" s="51">
        <f t="shared" si="4"/>
        <v>0.35749196260987531</v>
      </c>
      <c r="E43" s="50">
        <v>16683</v>
      </c>
      <c r="F43" s="51">
        <f t="shared" si="5"/>
        <v>0.32553465501092727</v>
      </c>
      <c r="G43" s="52">
        <f t="shared" si="6"/>
        <v>2554</v>
      </c>
      <c r="H43" s="53">
        <f t="shared" si="7"/>
        <v>0.15308997182760894</v>
      </c>
    </row>
    <row r="44" spans="2:8" x14ac:dyDescent="0.2">
      <c r="B44" s="3" t="s">
        <v>17</v>
      </c>
      <c r="C44" s="50"/>
      <c r="D44" s="51"/>
      <c r="E44" s="50"/>
      <c r="F44" s="51"/>
      <c r="G44" s="52"/>
      <c r="H44" s="53"/>
    </row>
    <row r="45" spans="2:8" x14ac:dyDescent="0.2">
      <c r="B45" s="62" t="s">
        <v>16</v>
      </c>
      <c r="C45" s="50">
        <v>39</v>
      </c>
      <c r="D45" s="51">
        <f t="shared" ref="D45:D50" si="8">C45/$C$31</f>
        <v>7.2475887829625911E-4</v>
      </c>
      <c r="E45" s="50">
        <v>42</v>
      </c>
      <c r="F45" s="51">
        <f t="shared" ref="F45:F50" si="9">E45/$E$31</f>
        <v>8.1954417733374964E-4</v>
      </c>
      <c r="G45" s="52">
        <f t="shared" ref="G45:G50" si="10">C45-E45</f>
        <v>-3</v>
      </c>
      <c r="H45" s="53">
        <f t="shared" ref="H45:H50" si="11">G45/E45</f>
        <v>-7.1428571428571425E-2</v>
      </c>
    </row>
    <row r="46" spans="2:8" x14ac:dyDescent="0.2">
      <c r="B46" s="62" t="s">
        <v>15</v>
      </c>
      <c r="C46" s="50">
        <v>6421</v>
      </c>
      <c r="D46" s="51">
        <f t="shared" si="8"/>
        <v>0.11932504506513539</v>
      </c>
      <c r="E46" s="50">
        <v>6329</v>
      </c>
      <c r="F46" s="51">
        <f t="shared" si="9"/>
        <v>0.12349750234155479</v>
      </c>
      <c r="G46" s="52">
        <f t="shared" si="10"/>
        <v>92</v>
      </c>
      <c r="H46" s="53">
        <f t="shared" si="11"/>
        <v>1.4536261652709749E-2</v>
      </c>
    </row>
    <row r="47" spans="2:8" x14ac:dyDescent="0.2">
      <c r="B47" s="62" t="s">
        <v>14</v>
      </c>
      <c r="C47" s="50">
        <v>6920</v>
      </c>
      <c r="D47" s="51">
        <f t="shared" si="8"/>
        <v>0.12859824199513112</v>
      </c>
      <c r="E47" s="50">
        <v>8825</v>
      </c>
      <c r="F47" s="51">
        <f t="shared" si="9"/>
        <v>0.17220184202310335</v>
      </c>
      <c r="G47" s="52">
        <f t="shared" si="10"/>
        <v>-1905</v>
      </c>
      <c r="H47" s="53">
        <f t="shared" si="11"/>
        <v>-0.21586402266288951</v>
      </c>
    </row>
    <row r="48" spans="2:8" x14ac:dyDescent="0.2">
      <c r="B48" s="62" t="s">
        <v>13</v>
      </c>
      <c r="C48" s="54">
        <v>-553</v>
      </c>
      <c r="D48" s="55">
        <f t="shared" si="8"/>
        <v>-1.0276709223021315E-2</v>
      </c>
      <c r="E48" s="54">
        <v>-756</v>
      </c>
      <c r="F48" s="55">
        <f t="shared" si="9"/>
        <v>-1.4751795192007493E-2</v>
      </c>
      <c r="G48" s="56">
        <f t="shared" si="10"/>
        <v>203</v>
      </c>
      <c r="H48" s="57">
        <f t="shared" si="11"/>
        <v>-0.26851851851851855</v>
      </c>
    </row>
    <row r="49" spans="2:8" x14ac:dyDescent="0.2">
      <c r="B49" s="6" t="s">
        <v>12</v>
      </c>
      <c r="C49" s="50">
        <v>12827</v>
      </c>
      <c r="D49" s="51">
        <f t="shared" si="8"/>
        <v>0.23837133671554142</v>
      </c>
      <c r="E49" s="50">
        <v>14440</v>
      </c>
      <c r="F49" s="51">
        <f t="shared" si="9"/>
        <v>0.2817670933499844</v>
      </c>
      <c r="G49" s="52">
        <f t="shared" si="10"/>
        <v>-1613</v>
      </c>
      <c r="H49" s="53">
        <f t="shared" si="11"/>
        <v>-0.11170360110803323</v>
      </c>
    </row>
    <row r="50" spans="2:8" ht="16" thickBot="1" x14ac:dyDescent="0.25">
      <c r="B50" s="4" t="s">
        <v>11</v>
      </c>
      <c r="C50" s="5">
        <v>53811</v>
      </c>
      <c r="D50" s="63">
        <f t="shared" si="8"/>
        <v>1</v>
      </c>
      <c r="E50" s="5">
        <v>51248</v>
      </c>
      <c r="F50" s="63">
        <f t="shared" si="9"/>
        <v>1</v>
      </c>
      <c r="G50" s="64">
        <f t="shared" si="10"/>
        <v>2563</v>
      </c>
      <c r="H50" s="65">
        <f t="shared" si="11"/>
        <v>5.0011707773961911E-2</v>
      </c>
    </row>
    <row r="51" spans="2:8" ht="16" thickTop="1" x14ac:dyDescent="0.2">
      <c r="C51" s="69"/>
    </row>
    <row r="52" spans="2:8" x14ac:dyDescent="0.2">
      <c r="C52" s="69"/>
    </row>
    <row r="53" spans="2:8" x14ac:dyDescent="0.2">
      <c r="B53" s="4" t="s">
        <v>10</v>
      </c>
    </row>
    <row r="54" spans="2:8" x14ac:dyDescent="0.2">
      <c r="B54" s="3" t="s">
        <v>260</v>
      </c>
      <c r="C54" s="70">
        <f>D28</f>
        <v>0.52370333203248409</v>
      </c>
      <c r="D54" s="76"/>
    </row>
    <row r="55" spans="2:8" s="71" customFormat="1" x14ac:dyDescent="0.2">
      <c r="B55" s="3" t="s">
        <v>261</v>
      </c>
      <c r="C55" s="9" t="s">
        <v>1</v>
      </c>
      <c r="E55" s="72"/>
    </row>
    <row r="56" spans="2:8" x14ac:dyDescent="0.2">
      <c r="B56" s="3" t="s">
        <v>108</v>
      </c>
      <c r="C56" s="73" t="s">
        <v>7</v>
      </c>
      <c r="E56" s="74"/>
    </row>
    <row r="57" spans="2:8" x14ac:dyDescent="0.2">
      <c r="B57" s="3" t="s">
        <v>6</v>
      </c>
      <c r="E57" s="74"/>
    </row>
    <row r="58" spans="2:8" x14ac:dyDescent="0.2">
      <c r="B58" s="3" t="s">
        <v>5</v>
      </c>
      <c r="E58" s="74"/>
    </row>
    <row r="59" spans="2:8" x14ac:dyDescent="0.2">
      <c r="B59" s="3" t="s">
        <v>4</v>
      </c>
      <c r="E59" s="74"/>
    </row>
    <row r="60" spans="2:8" x14ac:dyDescent="0.2">
      <c r="B60" s="75" t="s">
        <v>3</v>
      </c>
      <c r="C60" s="75"/>
      <c r="E60" s="74"/>
    </row>
    <row r="61" spans="2:8" x14ac:dyDescent="0.2">
      <c r="B61" s="75"/>
      <c r="C61" s="75"/>
      <c r="E61" s="74"/>
    </row>
    <row r="62" spans="2:8" x14ac:dyDescent="0.2">
      <c r="B62" s="156" t="s">
        <v>250</v>
      </c>
      <c r="E62" s="74"/>
    </row>
    <row r="63" spans="2:8" x14ac:dyDescent="0.2">
      <c r="B63" s="3" t="s">
        <v>110</v>
      </c>
      <c r="C63" s="87" t="s">
        <v>2</v>
      </c>
      <c r="E63" s="74"/>
    </row>
    <row r="64" spans="2:8" x14ac:dyDescent="0.2">
      <c r="B64" s="3" t="s">
        <v>111</v>
      </c>
      <c r="C64" s="87" t="s">
        <v>2</v>
      </c>
    </row>
    <row r="65" spans="3:3" x14ac:dyDescent="0.2">
      <c r="C65" s="77" t="str">
        <f>_xlfn.CONCAT(C63:C64)</f>
        <v>DecreaseDecrease</v>
      </c>
    </row>
  </sheetData>
  <mergeCells count="4">
    <mergeCell ref="B8:E8"/>
    <mergeCell ref="B11:H11"/>
    <mergeCell ref="B12:H12"/>
    <mergeCell ref="B13:H13"/>
  </mergeCells>
  <dataValidations count="3">
    <dataValidation type="list" allowBlank="1" showInputMessage="1" showErrorMessage="1" sqref="C63:C64" xr:uid="{92F5CCE3-0413-4D42-A4B4-1D174863E5F3}">
      <formula1>"Increase, Decrease"</formula1>
    </dataValidation>
    <dataValidation type="list" allowBlank="1" showInputMessage="1" showErrorMessage="1" sqref="C56" xr:uid="{2766235E-8AA7-9748-96E3-9DAF4D133AE3}">
      <formula1>"a,b,c,d"</formula1>
    </dataValidation>
    <dataValidation type="list" allowBlank="1" showInputMessage="1" showErrorMessage="1" sqref="C55" xr:uid="{723B9A0F-D0E2-2F40-86F2-868BAEE97AB6}">
      <formula1>$B$17:$B$30</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BF2E-62F7-8C43-8886-07BE2825458C}">
  <dimension ref="B1:Y186"/>
  <sheetViews>
    <sheetView workbookViewId="0">
      <selection activeCell="B7" sqref="B7:I7"/>
    </sheetView>
  </sheetViews>
  <sheetFormatPr baseColWidth="10" defaultColWidth="8" defaultRowHeight="16" x14ac:dyDescent="0.2"/>
  <cols>
    <col min="1" max="1" width="1" customWidth="1"/>
    <col min="2" max="2" width="9.83203125" customWidth="1"/>
    <col min="3" max="3" width="18.5" customWidth="1"/>
    <col min="4" max="4" width="14.1640625" customWidth="1"/>
    <col min="5" max="5" width="9.6640625" customWidth="1"/>
    <col min="6" max="6" width="13.1640625" customWidth="1"/>
    <col min="7" max="8" width="13.5" customWidth="1"/>
    <col min="9" max="9" width="12.5" customWidth="1"/>
    <col min="10" max="10" width="9" customWidth="1"/>
    <col min="11" max="11" width="21.6640625" customWidth="1"/>
    <col min="12" max="12" width="118.5" bestFit="1" customWidth="1"/>
  </cols>
  <sheetData>
    <row r="1" spans="2:10" ht="6" customHeight="1" x14ac:dyDescent="0.2"/>
    <row r="2" spans="2:10" ht="19" x14ac:dyDescent="0.25">
      <c r="B2" s="1" t="s">
        <v>263</v>
      </c>
    </row>
    <row r="3" spans="2:10" x14ac:dyDescent="0.2">
      <c r="B3" s="97" t="s">
        <v>264</v>
      </c>
    </row>
    <row r="4" spans="2:10" x14ac:dyDescent="0.2">
      <c r="B4" s="71" t="s">
        <v>249</v>
      </c>
    </row>
    <row r="5" spans="2:10" x14ac:dyDescent="0.2">
      <c r="B5" s="169" t="s">
        <v>248</v>
      </c>
    </row>
    <row r="7" spans="2:10" ht="19" x14ac:dyDescent="0.25">
      <c r="B7" s="186" t="s">
        <v>247</v>
      </c>
      <c r="C7" s="187"/>
      <c r="D7" s="187"/>
      <c r="E7" s="187"/>
      <c r="F7" s="187"/>
      <c r="G7" s="187"/>
      <c r="H7" s="187"/>
      <c r="I7" s="187"/>
    </row>
    <row r="9" spans="2:10" x14ac:dyDescent="0.2">
      <c r="B9" t="s">
        <v>246</v>
      </c>
      <c r="C9" t="s">
        <v>245</v>
      </c>
    </row>
    <row r="11" spans="2:10" x14ac:dyDescent="0.2">
      <c r="B11" s="97" t="s">
        <v>244</v>
      </c>
    </row>
    <row r="13" spans="2:10" x14ac:dyDescent="0.2">
      <c r="C13" t="s">
        <v>243</v>
      </c>
    </row>
    <row r="14" spans="2:10" ht="33.5" customHeight="1" x14ac:dyDescent="0.2">
      <c r="C14" s="175" t="s">
        <v>242</v>
      </c>
      <c r="D14" s="175"/>
      <c r="E14" s="175"/>
      <c r="F14" s="175"/>
      <c r="G14" s="175"/>
      <c r="H14" s="175"/>
      <c r="I14" s="175"/>
      <c r="J14" s="175"/>
    </row>
    <row r="16" spans="2:10" ht="29.5" customHeight="1" x14ac:dyDescent="0.2">
      <c r="C16" s="175" t="s">
        <v>241</v>
      </c>
      <c r="D16" s="175"/>
      <c r="E16" s="175"/>
      <c r="F16" s="175"/>
      <c r="G16" s="175"/>
      <c r="H16" s="175"/>
      <c r="I16" s="175"/>
      <c r="J16" s="175"/>
    </row>
    <row r="18" spans="2:10" ht="17" thickBot="1" x14ac:dyDescent="0.25"/>
    <row r="19" spans="2:10" x14ac:dyDescent="0.2">
      <c r="C19" s="161" t="s">
        <v>240</v>
      </c>
      <c r="D19" s="161" t="s">
        <v>226</v>
      </c>
      <c r="E19" s="161" t="s">
        <v>191</v>
      </c>
      <c r="F19" s="162" t="s">
        <v>146</v>
      </c>
      <c r="G19" s="163" t="s">
        <v>121</v>
      </c>
      <c r="H19" s="164" t="s">
        <v>120</v>
      </c>
      <c r="I19" s="165" t="s">
        <v>190</v>
      </c>
    </row>
    <row r="20" spans="2:10" x14ac:dyDescent="0.2">
      <c r="C20" s="90" t="s">
        <v>239</v>
      </c>
      <c r="D20" s="155">
        <v>0.3</v>
      </c>
      <c r="E20" s="94"/>
      <c r="F20" s="154"/>
      <c r="G20" s="157">
        <f>G22*D20</f>
        <v>64800</v>
      </c>
      <c r="H20" s="158">
        <f>D20*H22</f>
        <v>71280</v>
      </c>
      <c r="I20" s="153"/>
    </row>
    <row r="21" spans="2:10" x14ac:dyDescent="0.2">
      <c r="C21" s="90" t="s">
        <v>238</v>
      </c>
      <c r="D21" s="155">
        <v>0.7</v>
      </c>
      <c r="E21" s="94"/>
      <c r="F21" s="154"/>
      <c r="G21" s="157">
        <f>D21*G22</f>
        <v>151200</v>
      </c>
      <c r="H21" s="158">
        <f>D21*H22</f>
        <v>166320</v>
      </c>
      <c r="I21" s="153"/>
    </row>
    <row r="22" spans="2:10" ht="17" thickBot="1" x14ac:dyDescent="0.25">
      <c r="C22" s="117" t="s">
        <v>88</v>
      </c>
      <c r="D22" s="152">
        <f>SUM(D20:D21)</f>
        <v>1</v>
      </c>
      <c r="E22" s="94"/>
      <c r="F22" s="151">
        <v>200000</v>
      </c>
      <c r="G22" s="159">
        <f>F22*1.08</f>
        <v>216000</v>
      </c>
      <c r="H22" s="160">
        <f>G22*1.1</f>
        <v>237600.00000000003</v>
      </c>
      <c r="I22" s="150">
        <v>250000</v>
      </c>
    </row>
    <row r="25" spans="2:10" x14ac:dyDescent="0.2">
      <c r="B25" s="97" t="s">
        <v>237</v>
      </c>
    </row>
    <row r="27" spans="2:10" x14ac:dyDescent="0.2">
      <c r="C27" s="97" t="s">
        <v>153</v>
      </c>
    </row>
    <row r="28" spans="2:10" ht="20.5" customHeight="1" x14ac:dyDescent="0.2">
      <c r="C28" t="s">
        <v>236</v>
      </c>
    </row>
    <row r="30" spans="2:10" ht="30.5" customHeight="1" x14ac:dyDescent="0.2">
      <c r="C30" s="188" t="s">
        <v>235</v>
      </c>
      <c r="D30" s="175"/>
      <c r="E30" s="175"/>
      <c r="F30" s="175"/>
      <c r="G30" s="175"/>
      <c r="H30" s="175"/>
      <c r="I30" s="175"/>
      <c r="J30" s="175"/>
    </row>
    <row r="32" spans="2:10" x14ac:dyDescent="0.2">
      <c r="C32" t="s">
        <v>234</v>
      </c>
    </row>
    <row r="33" spans="3:9" ht="17" thickBot="1" x14ac:dyDescent="0.25"/>
    <row r="34" spans="3:9" x14ac:dyDescent="0.2">
      <c r="C34" s="96" t="s">
        <v>233</v>
      </c>
      <c r="D34" s="90"/>
      <c r="E34" s="90"/>
      <c r="F34" s="105"/>
      <c r="G34" s="141" t="s">
        <v>121</v>
      </c>
      <c r="H34" s="140" t="s">
        <v>120</v>
      </c>
      <c r="I34" s="128"/>
    </row>
    <row r="35" spans="3:9" x14ac:dyDescent="0.2">
      <c r="C35" s="189" t="s">
        <v>224</v>
      </c>
      <c r="D35" s="190"/>
      <c r="E35" s="90"/>
      <c r="F35" s="105"/>
      <c r="G35" s="148">
        <f>G45</f>
        <v>129600</v>
      </c>
      <c r="H35" s="147">
        <f>H45</f>
        <v>142560</v>
      </c>
      <c r="I35" s="128"/>
    </row>
    <row r="36" spans="3:9" x14ac:dyDescent="0.2">
      <c r="C36" s="129" t="s">
        <v>232</v>
      </c>
      <c r="D36" s="149"/>
      <c r="E36" s="90"/>
      <c r="F36" s="105"/>
      <c r="G36" s="148">
        <f>G54</f>
        <v>54256</v>
      </c>
      <c r="H36" s="147">
        <f>H54</f>
        <v>55000</v>
      </c>
      <c r="I36" s="128"/>
    </row>
    <row r="37" spans="3:9" x14ac:dyDescent="0.2">
      <c r="C37" s="176" t="s">
        <v>231</v>
      </c>
      <c r="D37" s="177"/>
      <c r="E37" s="90"/>
      <c r="F37" s="105"/>
      <c r="G37" s="148">
        <f>SUM(G35:G36)</f>
        <v>183856</v>
      </c>
      <c r="H37" s="147">
        <f>SUM(H35:H36)</f>
        <v>197560</v>
      </c>
      <c r="I37" s="128"/>
    </row>
    <row r="38" spans="3:9" x14ac:dyDescent="0.2">
      <c r="C38" s="182" t="s">
        <v>230</v>
      </c>
      <c r="D38" s="177"/>
      <c r="E38" s="90"/>
      <c r="F38" s="105"/>
      <c r="G38" s="148">
        <f>-F54</f>
        <v>-52960</v>
      </c>
      <c r="H38" s="147">
        <f>-G36</f>
        <v>-54256</v>
      </c>
      <c r="I38" s="128"/>
    </row>
    <row r="39" spans="3:9" ht="17" thickBot="1" x14ac:dyDescent="0.25">
      <c r="C39" s="176" t="s">
        <v>229</v>
      </c>
      <c r="D39" s="177"/>
      <c r="E39" s="90"/>
      <c r="F39" s="105"/>
      <c r="G39" s="146">
        <f>SUM(G37:G38)</f>
        <v>130896</v>
      </c>
      <c r="H39" s="146">
        <f>SUM(H37:H38)</f>
        <v>143304</v>
      </c>
      <c r="I39" s="128"/>
    </row>
    <row r="41" spans="3:9" ht="45" customHeight="1" x14ac:dyDescent="0.2">
      <c r="C41" s="175" t="s">
        <v>228</v>
      </c>
      <c r="D41" s="175"/>
      <c r="E41" s="175"/>
      <c r="F41" s="175"/>
      <c r="G41" s="175"/>
      <c r="H41" s="175"/>
      <c r="I41" s="175"/>
    </row>
    <row r="43" spans="3:9" x14ac:dyDescent="0.2">
      <c r="C43" s="97" t="s">
        <v>227</v>
      </c>
      <c r="F43" s="2" t="s">
        <v>226</v>
      </c>
      <c r="G43" s="2" t="s">
        <v>257</v>
      </c>
      <c r="H43" s="2" t="s">
        <v>258</v>
      </c>
      <c r="I43" s="2" t="s">
        <v>190</v>
      </c>
    </row>
    <row r="44" spans="3:9" x14ac:dyDescent="0.2">
      <c r="D44" t="s">
        <v>225</v>
      </c>
      <c r="F44" s="137">
        <v>1</v>
      </c>
      <c r="G44" s="144">
        <f>G22</f>
        <v>216000</v>
      </c>
      <c r="H44" s="134">
        <f>H22</f>
        <v>237600.00000000003</v>
      </c>
      <c r="I44" s="134">
        <f>I22</f>
        <v>250000</v>
      </c>
    </row>
    <row r="45" spans="3:9" x14ac:dyDescent="0.2">
      <c r="D45" t="s">
        <v>224</v>
      </c>
      <c r="F45" s="167">
        <f>F44-F46</f>
        <v>0.6</v>
      </c>
      <c r="G45" s="145">
        <f>G44*F45</f>
        <v>129600</v>
      </c>
      <c r="H45" s="134">
        <f>H44*F45</f>
        <v>142560</v>
      </c>
      <c r="I45" s="134">
        <f>I44*F45</f>
        <v>150000</v>
      </c>
    </row>
    <row r="46" spans="3:9" x14ac:dyDescent="0.2">
      <c r="D46" t="s">
        <v>187</v>
      </c>
      <c r="F46" s="137">
        <v>0.4</v>
      </c>
      <c r="G46" s="144">
        <f>F46*G44</f>
        <v>86400</v>
      </c>
      <c r="H46" s="134">
        <f>F46*H44</f>
        <v>95040.000000000015</v>
      </c>
      <c r="I46" s="134">
        <f>I44*F46</f>
        <v>100000</v>
      </c>
    </row>
    <row r="47" spans="3:9" x14ac:dyDescent="0.2">
      <c r="H47" s="99"/>
      <c r="I47" s="99"/>
    </row>
    <row r="48" spans="3:9" ht="47.5" customHeight="1" x14ac:dyDescent="0.2">
      <c r="C48" s="175" t="s">
        <v>223</v>
      </c>
      <c r="D48" s="175"/>
      <c r="E48" s="175"/>
      <c r="F48" s="175"/>
      <c r="G48" s="175"/>
      <c r="H48" s="175"/>
      <c r="I48" s="175"/>
    </row>
    <row r="49" spans="2:9" x14ac:dyDescent="0.2">
      <c r="F49" s="2" t="s">
        <v>146</v>
      </c>
      <c r="G49" s="2" t="s">
        <v>257</v>
      </c>
      <c r="H49" s="2" t="s">
        <v>258</v>
      </c>
    </row>
    <row r="50" spans="2:9" x14ac:dyDescent="0.2">
      <c r="D50" s="99" t="s">
        <v>222</v>
      </c>
      <c r="E50" s="99"/>
      <c r="F50" s="134">
        <f>G35</f>
        <v>129600</v>
      </c>
      <c r="G50" s="134">
        <f>H35</f>
        <v>142560</v>
      </c>
      <c r="H50" s="134">
        <f>I45</f>
        <v>150000</v>
      </c>
      <c r="I50" s="99"/>
    </row>
    <row r="51" spans="2:9" x14ac:dyDescent="0.2">
      <c r="D51" s="103">
        <v>0.1</v>
      </c>
      <c r="E51" s="99"/>
      <c r="F51" s="143">
        <f>D51</f>
        <v>0.1</v>
      </c>
      <c r="G51" s="143">
        <f>D51</f>
        <v>0.1</v>
      </c>
      <c r="H51" s="103">
        <f>D51</f>
        <v>0.1</v>
      </c>
      <c r="I51" s="99"/>
    </row>
    <row r="52" spans="2:9" x14ac:dyDescent="0.2">
      <c r="D52" s="99"/>
      <c r="E52" s="99"/>
      <c r="F52" s="134">
        <f>F50*F51</f>
        <v>12960</v>
      </c>
      <c r="G52" s="134">
        <f>G50*G51</f>
        <v>14256</v>
      </c>
      <c r="H52" s="134">
        <f>H50*H51</f>
        <v>15000</v>
      </c>
      <c r="I52" s="99"/>
    </row>
    <row r="53" spans="2:9" x14ac:dyDescent="0.2">
      <c r="D53" s="99" t="s">
        <v>221</v>
      </c>
      <c r="E53" s="99"/>
      <c r="F53" s="142">
        <v>40000</v>
      </c>
      <c r="G53" s="142">
        <v>40000</v>
      </c>
      <c r="H53" s="142">
        <v>40000</v>
      </c>
      <c r="I53" s="99"/>
    </row>
    <row r="54" spans="2:9" x14ac:dyDescent="0.2">
      <c r="D54" s="99" t="s">
        <v>220</v>
      </c>
      <c r="E54" s="99"/>
      <c r="F54" s="134">
        <f>F52+F53</f>
        <v>52960</v>
      </c>
      <c r="G54" s="134">
        <f>G52+G53</f>
        <v>54256</v>
      </c>
      <c r="H54" s="134">
        <f>SUM(H52:H53)</f>
        <v>55000</v>
      </c>
    </row>
    <row r="57" spans="2:9" x14ac:dyDescent="0.2">
      <c r="B57" s="97" t="s">
        <v>219</v>
      </c>
    </row>
    <row r="59" spans="2:9" x14ac:dyDescent="0.2">
      <c r="C59" t="s">
        <v>153</v>
      </c>
    </row>
    <row r="60" spans="2:9" ht="124" customHeight="1" x14ac:dyDescent="0.2">
      <c r="C60" s="175" t="s">
        <v>218</v>
      </c>
      <c r="D60" s="175"/>
      <c r="E60" s="175"/>
      <c r="F60" s="175"/>
      <c r="G60" s="175"/>
      <c r="H60" s="175"/>
      <c r="I60" s="175"/>
    </row>
    <row r="63" spans="2:9" ht="45.5" customHeight="1" x14ac:dyDescent="0.2">
      <c r="C63" s="178" t="s">
        <v>217</v>
      </c>
      <c r="D63" s="178"/>
      <c r="E63" s="178"/>
      <c r="F63" s="178"/>
      <c r="G63" s="178"/>
      <c r="H63" s="178"/>
    </row>
    <row r="65" spans="3:9" x14ac:dyDescent="0.2">
      <c r="C65" t="s">
        <v>216</v>
      </c>
    </row>
    <row r="66" spans="3:9" ht="17" thickBot="1" x14ac:dyDescent="0.25"/>
    <row r="67" spans="3:9" x14ac:dyDescent="0.2">
      <c r="C67" s="96" t="s">
        <v>215</v>
      </c>
      <c r="D67" s="90"/>
      <c r="E67" s="90" t="s">
        <v>123</v>
      </c>
      <c r="F67" s="105" t="s">
        <v>146</v>
      </c>
      <c r="G67" s="141" t="s">
        <v>121</v>
      </c>
      <c r="H67" s="140" t="s">
        <v>120</v>
      </c>
      <c r="I67" t="s">
        <v>214</v>
      </c>
    </row>
    <row r="68" spans="3:9" x14ac:dyDescent="0.2">
      <c r="C68" s="181" t="s">
        <v>213</v>
      </c>
      <c r="D68" s="181"/>
      <c r="E68" s="90"/>
      <c r="F68" s="105"/>
      <c r="G68" s="108">
        <v>20000</v>
      </c>
      <c r="H68" s="107">
        <v>20000</v>
      </c>
    </row>
    <row r="69" spans="3:9" x14ac:dyDescent="0.2">
      <c r="C69" s="182" t="s">
        <v>212</v>
      </c>
      <c r="D69" s="183"/>
      <c r="E69" s="90"/>
      <c r="F69" s="105"/>
      <c r="G69" s="110">
        <f>G81</f>
        <v>21600</v>
      </c>
      <c r="H69" s="109">
        <f>H81</f>
        <v>23760.000000000004</v>
      </c>
    </row>
    <row r="70" spans="3:9" x14ac:dyDescent="0.2">
      <c r="C70" s="184" t="s">
        <v>211</v>
      </c>
      <c r="D70" s="184"/>
      <c r="E70" s="90"/>
      <c r="F70" s="105"/>
      <c r="G70" s="110">
        <f>G87</f>
        <v>14320</v>
      </c>
      <c r="H70" s="109">
        <f>H87</f>
        <v>14752</v>
      </c>
    </row>
    <row r="71" spans="3:9" x14ac:dyDescent="0.2">
      <c r="C71" s="185" t="s">
        <v>210</v>
      </c>
      <c r="D71" s="184"/>
      <c r="E71" s="90"/>
      <c r="F71" s="105"/>
      <c r="G71" s="108">
        <f>F92</f>
        <v>4000</v>
      </c>
      <c r="H71" s="107">
        <f>F92</f>
        <v>4000</v>
      </c>
    </row>
    <row r="72" spans="3:9" x14ac:dyDescent="0.2">
      <c r="C72" s="184" t="s">
        <v>209</v>
      </c>
      <c r="D72" s="184"/>
      <c r="E72" s="90"/>
      <c r="F72" s="105"/>
      <c r="G72" s="108">
        <v>3000</v>
      </c>
      <c r="H72" s="107">
        <v>4000</v>
      </c>
    </row>
    <row r="73" spans="3:9" x14ac:dyDescent="0.2">
      <c r="C73" s="176" t="s">
        <v>208</v>
      </c>
      <c r="D73" s="177"/>
      <c r="E73" s="90"/>
      <c r="F73" s="105"/>
      <c r="G73" s="108">
        <v>1000</v>
      </c>
      <c r="H73" s="107">
        <v>1000</v>
      </c>
    </row>
    <row r="74" spans="3:9" ht="17" thickBot="1" x14ac:dyDescent="0.25">
      <c r="C74" s="179" t="s">
        <v>207</v>
      </c>
      <c r="D74" s="180"/>
      <c r="E74" s="120"/>
      <c r="F74" s="119"/>
      <c r="G74" s="106">
        <f>G97</f>
        <v>3024</v>
      </c>
      <c r="H74" s="118">
        <f>H97</f>
        <v>3326.4</v>
      </c>
    </row>
    <row r="75" spans="3:9" ht="17" thickBot="1" x14ac:dyDescent="0.25">
      <c r="C75" s="139" t="s">
        <v>206</v>
      </c>
      <c r="D75" s="139"/>
      <c r="E75" s="90"/>
      <c r="F75" s="105"/>
      <c r="G75" s="104">
        <f>SUM(G68:G74)</f>
        <v>66944</v>
      </c>
      <c r="H75" s="138">
        <f>SUM(H68:H74)</f>
        <v>70838.399999999994</v>
      </c>
    </row>
    <row r="77" spans="3:9" ht="68.5" customHeight="1" x14ac:dyDescent="0.2">
      <c r="C77" s="178" t="s">
        <v>205</v>
      </c>
      <c r="D77" s="178"/>
      <c r="E77" s="178"/>
      <c r="F77" s="178"/>
      <c r="G77" s="178"/>
      <c r="H77" s="178"/>
    </row>
    <row r="79" spans="3:9" x14ac:dyDescent="0.2">
      <c r="G79" s="2" t="s">
        <v>257</v>
      </c>
      <c r="H79" s="2" t="s">
        <v>258</v>
      </c>
    </row>
    <row r="80" spans="3:9" x14ac:dyDescent="0.2">
      <c r="D80" t="s">
        <v>136</v>
      </c>
      <c r="F80" t="s">
        <v>203</v>
      </c>
      <c r="G80" s="134">
        <f>G22</f>
        <v>216000</v>
      </c>
      <c r="H80" s="134">
        <f>H22</f>
        <v>237600.00000000003</v>
      </c>
    </row>
    <row r="81" spans="4:8" x14ac:dyDescent="0.2">
      <c r="F81" s="137">
        <v>0.1</v>
      </c>
      <c r="G81" s="134">
        <f>G80*F81</f>
        <v>21600</v>
      </c>
      <c r="H81" s="134">
        <f>H80*F81</f>
        <v>23760.000000000004</v>
      </c>
    </row>
    <row r="82" spans="4:8" x14ac:dyDescent="0.2">
      <c r="E82" s="99"/>
      <c r="F82" s="103"/>
      <c r="G82" s="134"/>
      <c r="H82" s="134"/>
    </row>
    <row r="83" spans="4:8" x14ac:dyDescent="0.2">
      <c r="E83" s="99"/>
      <c r="F83" s="99"/>
      <c r="G83" s="99"/>
      <c r="H83" s="99"/>
    </row>
    <row r="84" spans="4:8" x14ac:dyDescent="0.2">
      <c r="D84" t="s">
        <v>204</v>
      </c>
      <c r="E84" s="99"/>
      <c r="F84" s="99" t="s">
        <v>203</v>
      </c>
      <c r="G84" s="134">
        <f>G80</f>
        <v>216000</v>
      </c>
      <c r="H84" s="134">
        <f>H80</f>
        <v>237600.00000000003</v>
      </c>
    </row>
    <row r="85" spans="4:8" x14ac:dyDescent="0.2">
      <c r="E85" s="99"/>
      <c r="F85" s="103">
        <v>0.02</v>
      </c>
      <c r="G85" s="134">
        <f>G84*F85</f>
        <v>4320</v>
      </c>
      <c r="H85" s="134">
        <f>H84*F85</f>
        <v>4752.0000000000009</v>
      </c>
    </row>
    <row r="86" spans="4:8" x14ac:dyDescent="0.2">
      <c r="E86" s="99"/>
      <c r="F86" s="136" t="s">
        <v>202</v>
      </c>
      <c r="G86" s="135">
        <v>10000</v>
      </c>
      <c r="H86" s="135">
        <v>10000</v>
      </c>
    </row>
    <row r="87" spans="4:8" x14ac:dyDescent="0.2">
      <c r="E87" s="99"/>
      <c r="F87" s="99"/>
      <c r="G87" s="134">
        <f>SUM(G85:G86)</f>
        <v>14320</v>
      </c>
      <c r="H87" s="134">
        <f>SUM(H85:H86)</f>
        <v>14752</v>
      </c>
    </row>
    <row r="88" spans="4:8" x14ac:dyDescent="0.2">
      <c r="E88" s="99"/>
      <c r="F88" s="99"/>
      <c r="G88" s="134"/>
      <c r="H88" s="134"/>
    </row>
    <row r="89" spans="4:8" x14ac:dyDescent="0.2">
      <c r="E89" s="99"/>
      <c r="F89" s="99"/>
      <c r="G89" s="99"/>
      <c r="H89" s="99"/>
    </row>
    <row r="90" spans="4:8" x14ac:dyDescent="0.2">
      <c r="D90" t="s">
        <v>201</v>
      </c>
      <c r="E90" s="99" t="s">
        <v>200</v>
      </c>
      <c r="F90" s="99">
        <v>48000</v>
      </c>
      <c r="G90" s="99"/>
      <c r="H90" s="99"/>
    </row>
    <row r="91" spans="4:8" x14ac:dyDescent="0.2">
      <c r="E91" s="99" t="s">
        <v>199</v>
      </c>
      <c r="F91" s="99">
        <v>12</v>
      </c>
      <c r="G91" s="99"/>
      <c r="H91" s="99"/>
    </row>
    <row r="92" spans="4:8" x14ac:dyDescent="0.2">
      <c r="E92" s="99" t="s">
        <v>198</v>
      </c>
      <c r="F92" s="99">
        <f>F90/F91</f>
        <v>4000</v>
      </c>
      <c r="G92" s="99"/>
      <c r="H92" s="99"/>
    </row>
    <row r="93" spans="4:8" x14ac:dyDescent="0.2">
      <c r="E93" s="99"/>
      <c r="F93" s="99"/>
      <c r="G93" s="99"/>
      <c r="H93" s="99"/>
    </row>
    <row r="94" spans="4:8" x14ac:dyDescent="0.2">
      <c r="E94" s="99"/>
      <c r="F94" s="99"/>
      <c r="G94" s="99"/>
      <c r="H94" s="99"/>
    </row>
    <row r="95" spans="4:8" x14ac:dyDescent="0.2">
      <c r="D95" t="s">
        <v>197</v>
      </c>
      <c r="E95" s="99"/>
      <c r="F95" s="99"/>
      <c r="G95" s="99"/>
      <c r="H95" s="99"/>
    </row>
    <row r="96" spans="4:8" x14ac:dyDescent="0.2">
      <c r="E96" s="99" t="s">
        <v>196</v>
      </c>
      <c r="F96" s="99"/>
      <c r="G96" s="134">
        <f>G21</f>
        <v>151200</v>
      </c>
      <c r="H96" s="134">
        <f>H21</f>
        <v>166320</v>
      </c>
    </row>
    <row r="97" spans="2:25" x14ac:dyDescent="0.2">
      <c r="E97" s="103">
        <v>0.02</v>
      </c>
      <c r="F97" s="99"/>
      <c r="G97" s="133">
        <f>G96*0.02</f>
        <v>3024</v>
      </c>
      <c r="H97" s="133">
        <f>H96*0.02</f>
        <v>3326.4</v>
      </c>
    </row>
    <row r="100" spans="2:25" x14ac:dyDescent="0.2">
      <c r="B100" s="97" t="s">
        <v>195</v>
      </c>
    </row>
    <row r="101" spans="2:25" ht="17" thickBot="1" x14ac:dyDescent="0.25">
      <c r="C101" t="s">
        <v>194</v>
      </c>
      <c r="K101" s="99" t="s">
        <v>193</v>
      </c>
      <c r="L101" s="99"/>
      <c r="M101" s="99"/>
      <c r="N101" s="99"/>
      <c r="O101" s="99"/>
      <c r="P101" s="99"/>
      <c r="Q101" s="99"/>
      <c r="R101" s="99"/>
      <c r="S101" s="99"/>
      <c r="T101" s="99"/>
      <c r="U101" s="99"/>
      <c r="V101" s="99"/>
      <c r="W101" s="99"/>
      <c r="X101" s="99"/>
      <c r="Y101" s="99"/>
    </row>
    <row r="102" spans="2:25" x14ac:dyDescent="0.2">
      <c r="C102" s="96" t="s">
        <v>192</v>
      </c>
      <c r="D102" s="96"/>
      <c r="E102" s="96" t="s">
        <v>191</v>
      </c>
      <c r="F102" s="132" t="s">
        <v>146</v>
      </c>
      <c r="G102" s="112" t="s">
        <v>121</v>
      </c>
      <c r="H102" s="111" t="s">
        <v>120</v>
      </c>
      <c r="I102" s="131" t="s">
        <v>190</v>
      </c>
      <c r="K102" s="130" t="s">
        <v>189</v>
      </c>
      <c r="L102" s="99"/>
      <c r="M102" s="99"/>
      <c r="N102" s="99"/>
      <c r="O102" s="99"/>
      <c r="P102" s="99"/>
      <c r="Q102" s="99"/>
      <c r="R102" s="99"/>
      <c r="S102" s="99"/>
      <c r="T102" s="99"/>
      <c r="U102" s="99"/>
      <c r="V102" s="99"/>
      <c r="W102" s="99"/>
      <c r="X102" s="99"/>
      <c r="Y102" s="99"/>
    </row>
    <row r="103" spans="2:25" x14ac:dyDescent="0.2">
      <c r="C103" s="105" t="s">
        <v>177</v>
      </c>
      <c r="D103" s="128" t="s">
        <v>185</v>
      </c>
      <c r="E103" s="94"/>
      <c r="F103" s="94"/>
      <c r="G103" s="94">
        <f>G22</f>
        <v>216000</v>
      </c>
      <c r="H103" s="94">
        <f>H22</f>
        <v>237600.00000000003</v>
      </c>
      <c r="I103" s="94"/>
      <c r="K103" s="99"/>
      <c r="L103" s="99"/>
      <c r="M103" s="99"/>
      <c r="N103" s="99"/>
      <c r="O103" s="99"/>
      <c r="P103" s="99"/>
      <c r="Q103" s="99"/>
      <c r="R103" s="99"/>
      <c r="S103" s="99"/>
      <c r="T103" s="99"/>
      <c r="U103" s="99"/>
      <c r="V103" s="99"/>
      <c r="W103" s="99"/>
      <c r="X103" s="99"/>
      <c r="Y103" s="99"/>
    </row>
    <row r="104" spans="2:25" ht="17" thickBot="1" x14ac:dyDescent="0.25">
      <c r="C104" s="129" t="s">
        <v>186</v>
      </c>
      <c r="D104" s="128" t="s">
        <v>185</v>
      </c>
      <c r="E104" s="94"/>
      <c r="F104" s="94"/>
      <c r="G104" s="91">
        <f>G35</f>
        <v>129600</v>
      </c>
      <c r="H104" s="91">
        <f>H35</f>
        <v>142560</v>
      </c>
      <c r="I104" s="94"/>
      <c r="K104" s="99" t="s">
        <v>188</v>
      </c>
      <c r="L104" s="99" t="str">
        <f>K104</f>
        <v>Contribution Margin</v>
      </c>
      <c r="M104" s="99"/>
      <c r="N104" s="99"/>
      <c r="O104" s="99"/>
      <c r="P104" s="99"/>
      <c r="Q104" s="99"/>
      <c r="R104" s="99"/>
      <c r="S104" s="99"/>
      <c r="T104" s="99"/>
      <c r="U104" s="99"/>
      <c r="V104" s="99"/>
      <c r="W104" s="99"/>
      <c r="X104" s="99"/>
      <c r="Y104" s="99"/>
    </row>
    <row r="105" spans="2:25" x14ac:dyDescent="0.2">
      <c r="C105" s="105" t="s">
        <v>187</v>
      </c>
      <c r="D105" s="128" t="s">
        <v>185</v>
      </c>
      <c r="E105" s="94"/>
      <c r="F105" s="94"/>
      <c r="G105" s="89">
        <f>G103-G104</f>
        <v>86400</v>
      </c>
      <c r="H105" s="89">
        <f>G105*1.1</f>
        <v>95040.000000000015</v>
      </c>
      <c r="I105" s="94"/>
      <c r="K105" s="99" t="s">
        <v>187</v>
      </c>
      <c r="L105" s="99" t="str">
        <f>L104&amp;", "&amp;K105</f>
        <v>Contribution Margin, Gross Profit</v>
      </c>
      <c r="M105" s="99"/>
      <c r="N105" s="99"/>
      <c r="O105" s="99"/>
      <c r="P105" s="99"/>
      <c r="Q105" s="99"/>
      <c r="R105" s="99"/>
      <c r="S105" s="99"/>
      <c r="T105" s="99"/>
      <c r="U105" s="99"/>
      <c r="V105" s="99"/>
      <c r="W105" s="99"/>
      <c r="X105" s="99"/>
      <c r="Y105" s="99"/>
    </row>
    <row r="106" spans="2:25" ht="17" thickBot="1" x14ac:dyDescent="0.25">
      <c r="C106" s="129" t="s">
        <v>183</v>
      </c>
      <c r="D106" s="128" t="s">
        <v>185</v>
      </c>
      <c r="E106" s="90"/>
      <c r="F106" s="90"/>
      <c r="G106" s="91">
        <f>G75</f>
        <v>66944</v>
      </c>
      <c r="H106" s="91">
        <f>H75</f>
        <v>70838.399999999994</v>
      </c>
      <c r="I106" s="94"/>
      <c r="K106" s="127" t="s">
        <v>186</v>
      </c>
      <c r="L106" s="99" t="str">
        <f>L105&amp;", "&amp;K106</f>
        <v>Contribution Margin, Gross Profit, Less COGS</v>
      </c>
      <c r="M106" s="99"/>
      <c r="N106" s="99"/>
      <c r="O106" s="99"/>
      <c r="P106" s="99"/>
      <c r="Q106" s="99"/>
      <c r="R106" s="99"/>
      <c r="S106" s="99"/>
      <c r="T106" s="99"/>
      <c r="U106" s="99"/>
      <c r="V106" s="99"/>
      <c r="W106" s="99"/>
      <c r="X106" s="99"/>
      <c r="Y106" s="99"/>
    </row>
    <row r="107" spans="2:25" x14ac:dyDescent="0.2">
      <c r="C107" s="105" t="s">
        <v>179</v>
      </c>
      <c r="D107" s="128" t="s">
        <v>185</v>
      </c>
      <c r="E107" s="90"/>
      <c r="F107" s="90"/>
      <c r="G107" s="89">
        <f>G105-G106</f>
        <v>19456</v>
      </c>
      <c r="H107" s="89">
        <f>H105-H106</f>
        <v>24201.60000000002</v>
      </c>
      <c r="I107" s="94"/>
      <c r="K107" s="127" t="s">
        <v>184</v>
      </c>
      <c r="L107" s="99" t="str">
        <f>L106&amp;", "&amp;K107</f>
        <v>Contribution Margin, Gross Profit, Less COGS, Less Fixed Costs</v>
      </c>
      <c r="M107" s="99"/>
      <c r="N107" s="99"/>
      <c r="O107" s="99"/>
      <c r="P107" s="99"/>
      <c r="Q107" s="99"/>
      <c r="R107" s="99"/>
      <c r="S107" s="99"/>
      <c r="T107" s="99"/>
      <c r="U107" s="99"/>
      <c r="V107" s="99"/>
      <c r="W107" s="99"/>
      <c r="X107" s="99"/>
      <c r="Y107" s="99"/>
    </row>
    <row r="108" spans="2:25" x14ac:dyDescent="0.2">
      <c r="K108" s="126" t="s">
        <v>183</v>
      </c>
      <c r="L108" s="99" t="str">
        <f>L107&amp;", "&amp;K108</f>
        <v>Contribution Margin, Gross Profit, Less COGS, Less Fixed Costs, Less Operating Expenses</v>
      </c>
      <c r="M108" s="99"/>
      <c r="N108" s="99"/>
      <c r="O108" s="99"/>
      <c r="P108" s="99"/>
      <c r="Q108" s="99"/>
      <c r="R108" s="99"/>
      <c r="S108" s="99"/>
      <c r="T108" s="99"/>
      <c r="U108" s="99"/>
      <c r="V108" s="99"/>
      <c r="W108" s="99"/>
      <c r="X108" s="99"/>
      <c r="Y108" s="99"/>
    </row>
    <row r="109" spans="2:25" x14ac:dyDescent="0.2">
      <c r="C109" t="s">
        <v>182</v>
      </c>
      <c r="K109" s="126"/>
      <c r="L109" s="99"/>
      <c r="M109" s="99"/>
      <c r="N109" s="99"/>
      <c r="O109" s="99"/>
      <c r="P109" s="99"/>
      <c r="Q109" s="99"/>
      <c r="R109" s="99"/>
      <c r="S109" s="99"/>
      <c r="T109" s="99"/>
      <c r="U109" s="99"/>
      <c r="V109" s="99"/>
      <c r="W109" s="99"/>
      <c r="X109" s="99"/>
      <c r="Y109" s="99"/>
    </row>
    <row r="110" spans="2:25" x14ac:dyDescent="0.2">
      <c r="C110" t="str">
        <f>_xlfn.CONCAT(C103:C107)</f>
        <v>Sales revenueLess COGSGross ProfitLess Operating ExpensesOperating Income</v>
      </c>
      <c r="D110" t="s">
        <v>181</v>
      </c>
      <c r="K110" s="126" t="s">
        <v>180</v>
      </c>
      <c r="L110" s="99" t="str">
        <f>L108&amp;", "&amp;K110</f>
        <v>Contribution Margin, Gross Profit, Less COGS, Less Fixed Costs, Less Operating Expenses, Less Variable Costs</v>
      </c>
      <c r="M110" s="99"/>
      <c r="N110" s="99"/>
      <c r="O110" s="99"/>
      <c r="P110" s="99"/>
      <c r="Q110" s="99"/>
      <c r="R110" s="99"/>
      <c r="S110" s="99"/>
      <c r="T110" s="99"/>
      <c r="U110" s="99"/>
      <c r="V110" s="99"/>
      <c r="W110" s="99"/>
      <c r="X110" s="99"/>
      <c r="Y110" s="99"/>
    </row>
    <row r="111" spans="2:25" x14ac:dyDescent="0.2">
      <c r="K111" s="124" t="s">
        <v>179</v>
      </c>
      <c r="L111" s="99" t="str">
        <f>L110&amp;", "&amp;K111</f>
        <v>Contribution Margin, Gross Profit, Less COGS, Less Fixed Costs, Less Operating Expenses, Less Variable Costs, Operating Income</v>
      </c>
      <c r="M111" s="99"/>
      <c r="N111" s="99"/>
      <c r="O111" s="99"/>
      <c r="P111" s="99"/>
      <c r="Q111" s="99"/>
      <c r="R111" s="99"/>
      <c r="S111" s="99"/>
      <c r="T111" s="99"/>
      <c r="U111" s="99"/>
      <c r="V111" s="99"/>
      <c r="W111" s="99"/>
      <c r="X111" s="99"/>
      <c r="Y111" s="99"/>
    </row>
    <row r="112" spans="2:25" x14ac:dyDescent="0.2">
      <c r="B112" s="97" t="s">
        <v>178</v>
      </c>
      <c r="K112" s="124" t="s">
        <v>177</v>
      </c>
      <c r="L112" s="99" t="str">
        <f>L111&amp;", "&amp;K112</f>
        <v>Contribution Margin, Gross Profit, Less COGS, Less Fixed Costs, Less Operating Expenses, Less Variable Costs, Operating Income, Sales revenue</v>
      </c>
      <c r="M112" s="99"/>
      <c r="N112" s="99"/>
      <c r="O112" s="99"/>
      <c r="P112" s="99"/>
      <c r="Q112" s="99"/>
      <c r="R112" s="99"/>
      <c r="S112" s="99"/>
      <c r="T112" s="99"/>
      <c r="U112" s="99"/>
      <c r="V112" s="99"/>
      <c r="W112" s="99"/>
      <c r="X112" s="99"/>
      <c r="Y112" s="99"/>
    </row>
    <row r="113" spans="3:25" x14ac:dyDescent="0.2">
      <c r="D113" s="125" t="s">
        <v>176</v>
      </c>
      <c r="K113" s="124"/>
      <c r="L113" s="123"/>
      <c r="M113" s="99"/>
      <c r="N113" s="99"/>
      <c r="O113" s="99"/>
      <c r="P113" s="99"/>
      <c r="Q113" s="99"/>
      <c r="R113" s="99"/>
      <c r="S113" s="99"/>
      <c r="T113" s="99"/>
      <c r="U113" s="99"/>
      <c r="V113" s="99"/>
      <c r="W113" s="99"/>
      <c r="X113" s="99"/>
      <c r="Y113" s="99"/>
    </row>
    <row r="114" spans="3:25" x14ac:dyDescent="0.2">
      <c r="C114" t="s">
        <v>153</v>
      </c>
      <c r="K114" s="99"/>
      <c r="L114" s="99" t="s">
        <v>175</v>
      </c>
      <c r="M114" s="99"/>
      <c r="N114" s="99"/>
      <c r="O114" s="99"/>
      <c r="P114" s="99"/>
      <c r="Q114" s="99"/>
      <c r="R114" s="99"/>
      <c r="S114" s="99"/>
      <c r="T114" s="99"/>
      <c r="U114" s="99"/>
      <c r="V114" s="99"/>
      <c r="W114" s="99"/>
      <c r="X114" s="99"/>
      <c r="Y114" s="99"/>
    </row>
    <row r="115" spans="3:25" x14ac:dyDescent="0.2">
      <c r="C115" t="s">
        <v>174</v>
      </c>
    </row>
    <row r="116" spans="3:25" x14ac:dyDescent="0.2">
      <c r="C116" t="s">
        <v>173</v>
      </c>
    </row>
    <row r="118" spans="3:25" x14ac:dyDescent="0.2">
      <c r="C118" t="s">
        <v>172</v>
      </c>
    </row>
    <row r="120" spans="3:25" x14ac:dyDescent="0.2">
      <c r="C120" t="s">
        <v>171</v>
      </c>
      <c r="D120" s="166">
        <f>F22</f>
        <v>200000</v>
      </c>
      <c r="E120" s="121"/>
      <c r="F120" s="121" t="s">
        <v>170</v>
      </c>
      <c r="G120" s="121"/>
      <c r="H120" s="166">
        <f>G21</f>
        <v>151200</v>
      </c>
    </row>
    <row r="121" spans="3:25" x14ac:dyDescent="0.2">
      <c r="C121" t="s">
        <v>169</v>
      </c>
      <c r="D121" s="166">
        <f>D120*0.7</f>
        <v>140000</v>
      </c>
      <c r="E121" s="121"/>
      <c r="F121" s="121" t="s">
        <v>168</v>
      </c>
      <c r="G121" s="121"/>
      <c r="H121" s="166">
        <f>H120*0.8</f>
        <v>120960</v>
      </c>
    </row>
    <row r="122" spans="3:25" x14ac:dyDescent="0.2">
      <c r="C122" t="s">
        <v>167</v>
      </c>
      <c r="D122" s="166">
        <f>D121*0.8</f>
        <v>112000</v>
      </c>
      <c r="E122" s="121"/>
      <c r="F122" s="121" t="s">
        <v>166</v>
      </c>
      <c r="G122" s="121"/>
      <c r="H122" s="166">
        <f>H120*0.18</f>
        <v>27216</v>
      </c>
    </row>
    <row r="123" spans="3:25" x14ac:dyDescent="0.2">
      <c r="C123" t="s">
        <v>165</v>
      </c>
      <c r="D123" s="166">
        <f>D121*0.18</f>
        <v>25200</v>
      </c>
      <c r="E123" s="121"/>
      <c r="F123" s="121"/>
      <c r="G123" s="121"/>
      <c r="H123" s="121"/>
    </row>
    <row r="124" spans="3:25" x14ac:dyDescent="0.2">
      <c r="D124" s="121"/>
      <c r="E124" s="121"/>
      <c r="F124" s="121"/>
      <c r="G124" s="121"/>
      <c r="H124" s="121"/>
    </row>
    <row r="125" spans="3:25" x14ac:dyDescent="0.2">
      <c r="C125" t="s">
        <v>164</v>
      </c>
      <c r="D125" s="122">
        <v>250000</v>
      </c>
      <c r="E125" s="121"/>
      <c r="F125" s="121"/>
      <c r="G125" s="121"/>
      <c r="H125" s="121"/>
    </row>
    <row r="126" spans="3:25" x14ac:dyDescent="0.2">
      <c r="C126" t="s">
        <v>163</v>
      </c>
      <c r="D126" s="166">
        <f>D125*0.7</f>
        <v>175000</v>
      </c>
      <c r="E126" s="121"/>
      <c r="F126" s="121"/>
      <c r="G126" s="121"/>
      <c r="H126" s="121"/>
    </row>
    <row r="127" spans="3:25" x14ac:dyDescent="0.2">
      <c r="C127" t="s">
        <v>162</v>
      </c>
      <c r="D127" s="166">
        <f>D126*0.8</f>
        <v>140000</v>
      </c>
      <c r="E127" s="121"/>
      <c r="F127" s="121"/>
      <c r="G127" s="121"/>
      <c r="H127" s="121"/>
    </row>
    <row r="128" spans="3:25" x14ac:dyDescent="0.2">
      <c r="C128" t="s">
        <v>161</v>
      </c>
      <c r="D128" s="166">
        <f>D126*0.18</f>
        <v>31500</v>
      </c>
      <c r="E128" s="121"/>
      <c r="F128" s="121"/>
      <c r="G128" s="121"/>
      <c r="H128" s="121"/>
    </row>
    <row r="129" spans="2:8" ht="17" thickBot="1" x14ac:dyDescent="0.25"/>
    <row r="130" spans="2:8" x14ac:dyDescent="0.2">
      <c r="C130" s="96" t="s">
        <v>160</v>
      </c>
      <c r="D130" s="90"/>
      <c r="E130" s="90" t="s">
        <v>123</v>
      </c>
      <c r="F130" s="105" t="s">
        <v>146</v>
      </c>
      <c r="G130" s="112" t="s">
        <v>159</v>
      </c>
      <c r="H130" s="111" t="s">
        <v>120</v>
      </c>
    </row>
    <row r="131" spans="2:8" x14ac:dyDescent="0.2">
      <c r="C131" s="90" t="s">
        <v>158</v>
      </c>
      <c r="D131" s="90"/>
      <c r="E131" s="90"/>
      <c r="F131" s="105"/>
      <c r="G131" s="110">
        <f>G20</f>
        <v>64800</v>
      </c>
      <c r="H131" s="109">
        <f>H20</f>
        <v>71280</v>
      </c>
    </row>
    <row r="132" spans="2:8" x14ac:dyDescent="0.2">
      <c r="C132" s="90" t="s">
        <v>157</v>
      </c>
      <c r="D132" s="90"/>
      <c r="E132" s="90"/>
      <c r="F132" s="105"/>
      <c r="G132" s="110">
        <f>D122</f>
        <v>112000</v>
      </c>
      <c r="H132" s="109">
        <f>H121</f>
        <v>120960</v>
      </c>
    </row>
    <row r="133" spans="2:8" ht="17" thickBot="1" x14ac:dyDescent="0.25">
      <c r="C133" s="120" t="s">
        <v>156</v>
      </c>
      <c r="D133" s="120"/>
      <c r="E133" s="120"/>
      <c r="F133" s="119"/>
      <c r="G133" s="106">
        <f>D128</f>
        <v>31500</v>
      </c>
      <c r="H133" s="118">
        <f>D123</f>
        <v>25200</v>
      </c>
    </row>
    <row r="134" spans="2:8" x14ac:dyDescent="0.2">
      <c r="C134" s="117" t="s">
        <v>155</v>
      </c>
      <c r="D134" s="90"/>
      <c r="E134" s="90"/>
      <c r="F134" s="90"/>
      <c r="G134" s="89">
        <f>SUM(G131:G133)</f>
        <v>208300</v>
      </c>
      <c r="H134" s="89">
        <f>SUM(H131:H133)</f>
        <v>217440</v>
      </c>
    </row>
    <row r="137" spans="2:8" x14ac:dyDescent="0.2">
      <c r="B137" s="97" t="s">
        <v>154</v>
      </c>
    </row>
    <row r="139" spans="2:8" x14ac:dyDescent="0.2">
      <c r="C139" t="s">
        <v>153</v>
      </c>
    </row>
    <row r="140" spans="2:8" x14ac:dyDescent="0.2">
      <c r="C140" t="s">
        <v>152</v>
      </c>
    </row>
    <row r="141" spans="2:8" ht="17" thickBot="1" x14ac:dyDescent="0.25"/>
    <row r="142" spans="2:8" x14ac:dyDescent="0.2">
      <c r="C142" s="90" t="s">
        <v>151</v>
      </c>
      <c r="D142" s="90"/>
      <c r="E142" s="90" t="s">
        <v>123</v>
      </c>
      <c r="F142" s="105" t="s">
        <v>146</v>
      </c>
      <c r="G142" s="116" t="s">
        <v>121</v>
      </c>
      <c r="H142" s="115" t="s">
        <v>120</v>
      </c>
    </row>
    <row r="143" spans="2:8" ht="17" thickBot="1" x14ac:dyDescent="0.25">
      <c r="C143" s="90" t="s">
        <v>150</v>
      </c>
      <c r="D143" s="90"/>
      <c r="E143" s="90"/>
      <c r="F143" s="105"/>
      <c r="G143" s="114">
        <v>0</v>
      </c>
      <c r="H143" s="113">
        <v>35000</v>
      </c>
    </row>
    <row r="146" spans="2:8" x14ac:dyDescent="0.2">
      <c r="B146" s="97" t="s">
        <v>149</v>
      </c>
    </row>
    <row r="147" spans="2:8" x14ac:dyDescent="0.2">
      <c r="B147" s="97"/>
      <c r="C147" t="s">
        <v>148</v>
      </c>
    </row>
    <row r="148" spans="2:8" ht="17" thickBot="1" x14ac:dyDescent="0.25"/>
    <row r="149" spans="2:8" x14ac:dyDescent="0.2">
      <c r="C149" s="90" t="s">
        <v>147</v>
      </c>
      <c r="D149" s="90"/>
      <c r="E149" s="90" t="s">
        <v>123</v>
      </c>
      <c r="F149" s="105" t="s">
        <v>146</v>
      </c>
      <c r="G149" s="112" t="s">
        <v>121</v>
      </c>
      <c r="H149" s="111" t="s">
        <v>120</v>
      </c>
    </row>
    <row r="150" spans="2:8" x14ac:dyDescent="0.2">
      <c r="C150" s="90" t="s">
        <v>145</v>
      </c>
      <c r="D150" s="90"/>
      <c r="E150" s="90"/>
      <c r="F150" s="105"/>
      <c r="G150" s="110">
        <f>G143</f>
        <v>0</v>
      </c>
      <c r="H150" s="109">
        <f>H143</f>
        <v>35000</v>
      </c>
    </row>
    <row r="151" spans="2:8" x14ac:dyDescent="0.2">
      <c r="C151" s="90" t="s">
        <v>144</v>
      </c>
      <c r="D151" s="90"/>
      <c r="E151" s="90"/>
      <c r="F151" s="105"/>
      <c r="G151" s="108">
        <v>20000</v>
      </c>
      <c r="H151" s="107">
        <v>20000</v>
      </c>
    </row>
    <row r="152" spans="2:8" x14ac:dyDescent="0.2">
      <c r="C152" s="90" t="s">
        <v>143</v>
      </c>
      <c r="D152" s="90"/>
      <c r="E152" s="90"/>
      <c r="F152" s="105"/>
      <c r="G152" s="110">
        <f>E161</f>
        <v>20000</v>
      </c>
      <c r="H152" s="109">
        <f>E164</f>
        <v>21600</v>
      </c>
    </row>
    <row r="153" spans="2:8" x14ac:dyDescent="0.2">
      <c r="C153" s="90" t="s">
        <v>142</v>
      </c>
      <c r="D153" s="90"/>
      <c r="E153" s="90"/>
      <c r="F153" s="105"/>
      <c r="G153" s="110">
        <f>E170</f>
        <v>14000</v>
      </c>
      <c r="H153" s="109">
        <f>H170</f>
        <v>14320</v>
      </c>
    </row>
    <row r="154" spans="2:8" x14ac:dyDescent="0.2">
      <c r="C154" s="90" t="s">
        <v>141</v>
      </c>
      <c r="D154" s="90"/>
      <c r="E154" s="90"/>
      <c r="F154" s="105"/>
      <c r="G154" s="108">
        <v>2000</v>
      </c>
      <c r="H154" s="107">
        <v>3000</v>
      </c>
    </row>
    <row r="155" spans="2:8" x14ac:dyDescent="0.2">
      <c r="C155" s="90" t="s">
        <v>140</v>
      </c>
      <c r="D155" s="90"/>
      <c r="E155" s="90"/>
      <c r="F155" s="105"/>
      <c r="G155" s="108">
        <v>0</v>
      </c>
      <c r="H155" s="107">
        <v>6000</v>
      </c>
    </row>
    <row r="156" spans="2:8" ht="17" thickBot="1" x14ac:dyDescent="0.25">
      <c r="C156" s="90" t="s">
        <v>139</v>
      </c>
      <c r="D156" s="90"/>
      <c r="E156" s="90"/>
      <c r="F156" s="105"/>
      <c r="G156" s="106">
        <f>G39</f>
        <v>130896</v>
      </c>
      <c r="H156" s="106">
        <f>H39</f>
        <v>143304</v>
      </c>
    </row>
    <row r="157" spans="2:8" ht="17" thickBot="1" x14ac:dyDescent="0.25">
      <c r="C157" s="90" t="s">
        <v>138</v>
      </c>
      <c r="D157" s="90"/>
      <c r="E157" s="90"/>
      <c r="F157" s="105"/>
      <c r="G157" s="104">
        <f>SUM(G150:G156)</f>
        <v>186896</v>
      </c>
      <c r="H157" s="104">
        <f>SUM(H150:H156)</f>
        <v>243224</v>
      </c>
    </row>
    <row r="159" spans="2:8" ht="45" customHeight="1" x14ac:dyDescent="0.2">
      <c r="C159" s="175" t="s">
        <v>137</v>
      </c>
      <c r="D159" s="175"/>
      <c r="E159" s="175"/>
      <c r="F159" s="175"/>
      <c r="G159" s="175"/>
      <c r="H159" s="175"/>
    </row>
    <row r="160" spans="2:8" x14ac:dyDescent="0.2">
      <c r="C160" t="s">
        <v>136</v>
      </c>
      <c r="D160" s="99" t="s">
        <v>131</v>
      </c>
      <c r="E160" s="100">
        <f>F22</f>
        <v>200000</v>
      </c>
      <c r="F160" s="99"/>
      <c r="G160" s="99"/>
      <c r="H160" s="99"/>
    </row>
    <row r="161" spans="2:9" x14ac:dyDescent="0.2">
      <c r="D161" s="103">
        <v>0.1</v>
      </c>
      <c r="E161" s="100">
        <f>E160*0.1</f>
        <v>20000</v>
      </c>
      <c r="F161" s="99" t="s">
        <v>135</v>
      </c>
      <c r="G161" s="99"/>
      <c r="H161" s="99"/>
    </row>
    <row r="162" spans="2:9" x14ac:dyDescent="0.2">
      <c r="D162" s="99"/>
      <c r="E162" s="100"/>
      <c r="F162" s="99"/>
      <c r="G162" s="99"/>
      <c r="H162" s="99"/>
    </row>
    <row r="163" spans="2:9" x14ac:dyDescent="0.2">
      <c r="D163" s="99" t="s">
        <v>134</v>
      </c>
      <c r="E163" s="100">
        <f>G22</f>
        <v>216000</v>
      </c>
      <c r="F163" s="99"/>
      <c r="G163" s="99"/>
      <c r="H163" s="99"/>
    </row>
    <row r="164" spans="2:9" x14ac:dyDescent="0.2">
      <c r="D164" s="103">
        <v>0.1</v>
      </c>
      <c r="E164" s="100">
        <f>E163*0.1</f>
        <v>21600</v>
      </c>
      <c r="F164" s="99" t="s">
        <v>133</v>
      </c>
      <c r="G164" s="99"/>
      <c r="H164" s="99"/>
    </row>
    <row r="165" spans="2:9" x14ac:dyDescent="0.2">
      <c r="D165" s="99"/>
      <c r="E165" s="99"/>
      <c r="F165" s="99"/>
      <c r="G165" s="99"/>
      <c r="H165" s="99"/>
    </row>
    <row r="166" spans="2:9" x14ac:dyDescent="0.2">
      <c r="C166" t="s">
        <v>132</v>
      </c>
      <c r="D166" s="99"/>
      <c r="E166" s="99"/>
      <c r="F166" s="99"/>
      <c r="G166" s="99"/>
      <c r="H166" s="99"/>
    </row>
    <row r="167" spans="2:9" x14ac:dyDescent="0.2">
      <c r="D167" s="99" t="s">
        <v>131</v>
      </c>
      <c r="E167" s="100">
        <f>E160</f>
        <v>200000</v>
      </c>
      <c r="F167" s="99"/>
      <c r="G167" s="99" t="s">
        <v>130</v>
      </c>
      <c r="H167" s="98">
        <f>E163</f>
        <v>216000</v>
      </c>
    </row>
    <row r="168" spans="2:9" x14ac:dyDescent="0.2">
      <c r="D168" s="103">
        <v>0.02</v>
      </c>
      <c r="E168" s="100">
        <f>E167*0.02</f>
        <v>4000</v>
      </c>
      <c r="F168" s="99"/>
      <c r="G168" s="103">
        <v>0.02</v>
      </c>
      <c r="H168" s="98">
        <f>H167*0.02</f>
        <v>4320</v>
      </c>
    </row>
    <row r="169" spans="2:9" x14ac:dyDescent="0.2">
      <c r="D169" s="99" t="s">
        <v>129</v>
      </c>
      <c r="E169" s="102">
        <v>10000</v>
      </c>
      <c r="F169" s="99"/>
      <c r="G169" s="99" t="s">
        <v>129</v>
      </c>
      <c r="H169" s="101">
        <v>10000</v>
      </c>
    </row>
    <row r="170" spans="2:9" x14ac:dyDescent="0.2">
      <c r="D170" s="99" t="s">
        <v>128</v>
      </c>
      <c r="E170" s="100">
        <f>SUM(E168:E169)</f>
        <v>14000</v>
      </c>
      <c r="F170" s="99"/>
      <c r="G170" s="99" t="s">
        <v>128</v>
      </c>
      <c r="H170" s="98">
        <f>SUM(H168:H169)</f>
        <v>14320</v>
      </c>
    </row>
    <row r="173" spans="2:9" x14ac:dyDescent="0.2">
      <c r="B173" s="97" t="s">
        <v>127</v>
      </c>
    </row>
    <row r="174" spans="2:9" x14ac:dyDescent="0.2">
      <c r="C174" t="s">
        <v>126</v>
      </c>
    </row>
    <row r="175" spans="2:9" ht="34" customHeight="1" x14ac:dyDescent="0.2">
      <c r="C175" s="175" t="s">
        <v>125</v>
      </c>
      <c r="D175" s="175"/>
      <c r="E175" s="175"/>
      <c r="F175" s="175"/>
      <c r="G175" s="175"/>
      <c r="H175" s="175"/>
      <c r="I175" s="175"/>
    </row>
    <row r="178" spans="3:8" x14ac:dyDescent="0.2">
      <c r="C178" s="90" t="s">
        <v>124</v>
      </c>
      <c r="D178" s="90"/>
      <c r="E178" s="90" t="s">
        <v>123</v>
      </c>
      <c r="F178" s="90" t="s">
        <v>122</v>
      </c>
      <c r="G178" s="96" t="s">
        <v>121</v>
      </c>
      <c r="H178" s="96" t="s">
        <v>120</v>
      </c>
    </row>
    <row r="179" spans="3:8" x14ac:dyDescent="0.2">
      <c r="C179" s="90" t="s">
        <v>119</v>
      </c>
      <c r="D179" s="90"/>
      <c r="E179" s="90"/>
      <c r="F179" s="90"/>
      <c r="G179" s="95">
        <v>12000</v>
      </c>
      <c r="H179" s="94">
        <f>G186</f>
        <v>33404</v>
      </c>
    </row>
    <row r="180" spans="3:8" x14ac:dyDescent="0.2">
      <c r="C180" s="93" t="s">
        <v>118</v>
      </c>
      <c r="D180" s="90"/>
      <c r="E180" s="90"/>
      <c r="F180" s="90"/>
      <c r="G180" s="94">
        <f>G134</f>
        <v>208300</v>
      </c>
      <c r="H180" s="94">
        <f>H134</f>
        <v>217440</v>
      </c>
    </row>
    <row r="181" spans="3:8" ht="17" thickBot="1" x14ac:dyDescent="0.25">
      <c r="C181" s="93" t="s">
        <v>117</v>
      </c>
      <c r="D181" s="90"/>
      <c r="E181" s="90"/>
      <c r="F181" s="90"/>
      <c r="G181" s="91">
        <f>-G157</f>
        <v>-186896</v>
      </c>
      <c r="H181" s="91">
        <f>-H157</f>
        <v>-243224</v>
      </c>
    </row>
    <row r="182" spans="3:8" x14ac:dyDescent="0.2">
      <c r="C182" s="90" t="s">
        <v>116</v>
      </c>
      <c r="D182" s="90"/>
      <c r="E182" s="90"/>
      <c r="F182" s="90"/>
      <c r="G182" s="89">
        <f>SUM(G179:G181)</f>
        <v>33404</v>
      </c>
      <c r="H182" s="89">
        <f>SUM(H179:H181)</f>
        <v>7620</v>
      </c>
    </row>
    <row r="183" spans="3:8" x14ac:dyDescent="0.2">
      <c r="C183" s="93" t="s">
        <v>115</v>
      </c>
      <c r="D183" s="90"/>
      <c r="E183" s="90"/>
      <c r="F183" s="90"/>
      <c r="G183" s="95">
        <v>0</v>
      </c>
      <c r="H183" s="95">
        <v>2380</v>
      </c>
    </row>
    <row r="184" spans="3:8" x14ac:dyDescent="0.2">
      <c r="C184" s="93" t="s">
        <v>114</v>
      </c>
      <c r="D184" s="90"/>
      <c r="E184" s="90"/>
      <c r="F184" s="90"/>
      <c r="G184" s="95">
        <v>0</v>
      </c>
      <c r="H184" s="94">
        <v>0</v>
      </c>
    </row>
    <row r="185" spans="3:8" ht="17" thickBot="1" x14ac:dyDescent="0.25">
      <c r="C185" s="93" t="s">
        <v>113</v>
      </c>
      <c r="D185" s="90"/>
      <c r="E185" s="90"/>
      <c r="F185" s="90"/>
      <c r="G185" s="92">
        <v>0</v>
      </c>
      <c r="H185" s="91">
        <v>0</v>
      </c>
    </row>
    <row r="186" spans="3:8" x14ac:dyDescent="0.2">
      <c r="C186" s="90" t="s">
        <v>112</v>
      </c>
      <c r="D186" s="90"/>
      <c r="E186" s="90"/>
      <c r="F186" s="90"/>
      <c r="G186" s="89">
        <f>SUM(G182:G185)</f>
        <v>33404</v>
      </c>
      <c r="H186" s="89">
        <f>SUM(H182:H185)</f>
        <v>10000</v>
      </c>
    </row>
  </sheetData>
  <mergeCells count="22">
    <mergeCell ref="B7:I7"/>
    <mergeCell ref="C14:J14"/>
    <mergeCell ref="C16:J16"/>
    <mergeCell ref="C30:J30"/>
    <mergeCell ref="C35:D35"/>
    <mergeCell ref="C37:D37"/>
    <mergeCell ref="C38:D38"/>
    <mergeCell ref="C39:D39"/>
    <mergeCell ref="C41:I41"/>
    <mergeCell ref="C48:I48"/>
    <mergeCell ref="C175:I175"/>
    <mergeCell ref="C73:D73"/>
    <mergeCell ref="C60:I60"/>
    <mergeCell ref="C63:H63"/>
    <mergeCell ref="C74:D74"/>
    <mergeCell ref="C77:H77"/>
    <mergeCell ref="C159:H159"/>
    <mergeCell ref="C68:D68"/>
    <mergeCell ref="C69:D69"/>
    <mergeCell ref="C70:D70"/>
    <mergeCell ref="C71:D71"/>
    <mergeCell ref="C72:D72"/>
  </mergeCells>
  <dataValidations count="1">
    <dataValidation type="list" allowBlank="1" showInputMessage="1" showErrorMessage="1" sqref="C103:C107" xr:uid="{AC4A84A6-039B-45AD-BD7C-CB85910253EE}">
      <formula1>"Contribution Margin, Gross Profit, Less COGS, Less Fixed Costs, Less Operating Expenses, Less Variable Costs, Operating Income, Sales revenue"</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3AAB-CF9C-CB48-A4E1-AC1F4327C80C}">
  <dimension ref="B2:O67"/>
  <sheetViews>
    <sheetView zoomScale="80" zoomScaleNormal="80" workbookViewId="0">
      <selection activeCell="B2" sqref="B2:H2"/>
    </sheetView>
  </sheetViews>
  <sheetFormatPr baseColWidth="10" defaultRowHeight="16" x14ac:dyDescent="0.2"/>
  <cols>
    <col min="1" max="1" width="2.33203125" customWidth="1"/>
    <col min="2" max="2" width="8.33203125" bestFit="1" customWidth="1"/>
    <col min="3" max="3" width="18" style="2" customWidth="1"/>
    <col min="4" max="4" width="13.1640625" style="2" bestFit="1" customWidth="1"/>
    <col min="5" max="5" width="12" style="2" bestFit="1" customWidth="1"/>
    <col min="6" max="6" width="11.83203125" style="2" bestFit="1" customWidth="1"/>
    <col min="7" max="7" width="12.1640625" bestFit="1" customWidth="1"/>
    <col min="8" max="8" width="12.83203125" bestFit="1" customWidth="1"/>
    <col min="9" max="9" width="14.6640625" customWidth="1"/>
    <col min="10" max="10" width="13.33203125" bestFit="1" customWidth="1"/>
    <col min="11" max="12" width="5" customWidth="1"/>
    <col min="13" max="13" width="11.1640625" bestFit="1" customWidth="1"/>
    <col min="14" max="14" width="16.1640625" bestFit="1" customWidth="1"/>
    <col min="15" max="15" width="16" bestFit="1" customWidth="1"/>
    <col min="16" max="16" width="15.1640625" bestFit="1" customWidth="1"/>
    <col min="17" max="17" width="20.6640625" bestFit="1" customWidth="1"/>
    <col min="18" max="18" width="7.6640625" customWidth="1"/>
    <col min="19" max="20" width="12.83203125" customWidth="1"/>
  </cols>
  <sheetData>
    <row r="2" spans="2:15" s="3" customFormat="1" ht="19" x14ac:dyDescent="0.25">
      <c r="B2" s="191" t="s">
        <v>98</v>
      </c>
      <c r="C2" s="192"/>
      <c r="D2" s="192"/>
      <c r="E2" s="192"/>
      <c r="F2" s="192"/>
      <c r="G2" s="192"/>
      <c r="H2" s="193"/>
    </row>
    <row r="3" spans="2:15" s="3" customFormat="1" x14ac:dyDescent="0.2">
      <c r="B3" s="194" t="s">
        <v>101</v>
      </c>
      <c r="C3" s="195"/>
      <c r="D3" s="195"/>
      <c r="E3" s="195"/>
      <c r="F3" s="195"/>
      <c r="G3" s="195"/>
      <c r="H3" s="196"/>
    </row>
    <row r="4" spans="2:15" s="3" customFormat="1" x14ac:dyDescent="0.2">
      <c r="B4" s="10" t="s">
        <v>109</v>
      </c>
      <c r="C4" s="11"/>
      <c r="D4" s="11"/>
      <c r="E4" s="11"/>
      <c r="F4" s="11"/>
      <c r="G4" s="11"/>
      <c r="H4" s="12"/>
    </row>
    <row r="5" spans="2:15" s="3" customFormat="1" x14ac:dyDescent="0.2">
      <c r="B5" s="10" t="s">
        <v>259</v>
      </c>
      <c r="C5" s="11"/>
      <c r="D5" s="11"/>
      <c r="E5" s="11"/>
      <c r="F5" s="11"/>
      <c r="G5" s="11"/>
      <c r="H5" s="12"/>
    </row>
    <row r="6" spans="2:15" s="3" customFormat="1" x14ac:dyDescent="0.2">
      <c r="B6" s="44" t="s">
        <v>100</v>
      </c>
      <c r="C6" s="16"/>
      <c r="D6" s="16"/>
      <c r="E6" s="16"/>
      <c r="F6" s="16"/>
      <c r="G6" s="16"/>
      <c r="H6" s="17"/>
    </row>
    <row r="7" spans="2:15" s="3" customFormat="1" ht="15" x14ac:dyDescent="0.2"/>
    <row r="8" spans="2:15" x14ac:dyDescent="0.2">
      <c r="B8" s="36" t="s">
        <v>68</v>
      </c>
      <c r="C8" s="36" t="s">
        <v>69</v>
      </c>
      <c r="D8" s="36" t="s">
        <v>70</v>
      </c>
      <c r="E8" s="36" t="s">
        <v>71</v>
      </c>
      <c r="F8" s="36" t="s">
        <v>72</v>
      </c>
      <c r="G8" s="36" t="s">
        <v>73</v>
      </c>
      <c r="H8" s="36" t="s">
        <v>74</v>
      </c>
      <c r="I8" s="36" t="s">
        <v>75</v>
      </c>
      <c r="J8" s="36" t="s">
        <v>97</v>
      </c>
      <c r="M8" s="3"/>
      <c r="N8" s="3"/>
      <c r="O8" s="3"/>
    </row>
    <row r="9" spans="2:15" x14ac:dyDescent="0.2">
      <c r="B9" s="39">
        <v>24001</v>
      </c>
      <c r="C9" s="40" t="s">
        <v>76</v>
      </c>
      <c r="D9" s="40" t="s">
        <v>77</v>
      </c>
      <c r="E9" s="40" t="s">
        <v>0</v>
      </c>
      <c r="F9" s="40">
        <v>2</v>
      </c>
      <c r="G9" s="41">
        <v>2.29</v>
      </c>
      <c r="H9" s="42">
        <f t="shared" ref="H9:H67" si="0">G9*F9</f>
        <v>4.58</v>
      </c>
      <c r="I9" s="41">
        <v>2</v>
      </c>
      <c r="J9" s="42">
        <f>H9-F9*I9</f>
        <v>0.58000000000000007</v>
      </c>
      <c r="M9" s="88" t="s">
        <v>68</v>
      </c>
      <c r="N9" t="s">
        <v>87</v>
      </c>
      <c r="O9" t="s">
        <v>107</v>
      </c>
    </row>
    <row r="10" spans="2:15" x14ac:dyDescent="0.2">
      <c r="B10" s="39">
        <v>24001</v>
      </c>
      <c r="C10" s="40" t="s">
        <v>79</v>
      </c>
      <c r="D10" s="40" t="s">
        <v>80</v>
      </c>
      <c r="E10" s="40" t="s">
        <v>0</v>
      </c>
      <c r="F10" s="40">
        <v>12</v>
      </c>
      <c r="G10" s="41">
        <v>0.75</v>
      </c>
      <c r="H10" s="42">
        <f t="shared" si="0"/>
        <v>9</v>
      </c>
      <c r="I10" s="41">
        <v>0.65</v>
      </c>
      <c r="J10" s="42">
        <f t="shared" ref="J10:J67" si="1">H10-F10*I10</f>
        <v>1.1999999999999993</v>
      </c>
      <c r="M10" s="38">
        <v>24001</v>
      </c>
      <c r="N10" s="43">
        <v>13.58</v>
      </c>
      <c r="O10" s="43">
        <v>1.7799999999999994</v>
      </c>
    </row>
    <row r="11" spans="2:15" x14ac:dyDescent="0.2">
      <c r="B11" s="39">
        <v>24002</v>
      </c>
      <c r="C11" s="40" t="s">
        <v>81</v>
      </c>
      <c r="D11" s="40" t="s">
        <v>82</v>
      </c>
      <c r="E11" s="40" t="s">
        <v>0</v>
      </c>
      <c r="F11" s="40">
        <v>2</v>
      </c>
      <c r="G11" s="41">
        <v>12</v>
      </c>
      <c r="H11" s="42">
        <f t="shared" si="0"/>
        <v>24</v>
      </c>
      <c r="I11" s="41">
        <v>10.5</v>
      </c>
      <c r="J11" s="42">
        <f t="shared" si="1"/>
        <v>3</v>
      </c>
      <c r="M11" s="38">
        <v>24002</v>
      </c>
      <c r="N11" s="43">
        <v>39.08</v>
      </c>
      <c r="O11" s="43">
        <v>4.4799999999999986</v>
      </c>
    </row>
    <row r="12" spans="2:15" x14ac:dyDescent="0.2">
      <c r="B12" s="39">
        <v>24002</v>
      </c>
      <c r="C12" s="40" t="s">
        <v>83</v>
      </c>
      <c r="D12" s="40" t="s">
        <v>82</v>
      </c>
      <c r="E12" s="40" t="s">
        <v>0</v>
      </c>
      <c r="F12" s="40">
        <v>6</v>
      </c>
      <c r="G12" s="41">
        <v>1.75</v>
      </c>
      <c r="H12" s="42">
        <f t="shared" si="0"/>
        <v>10.5</v>
      </c>
      <c r="I12" s="41">
        <v>1.6</v>
      </c>
      <c r="J12" s="42">
        <f t="shared" si="1"/>
        <v>0.89999999999999858</v>
      </c>
      <c r="M12" s="38">
        <v>24003</v>
      </c>
      <c r="N12" s="43">
        <v>9.18</v>
      </c>
      <c r="O12" s="43">
        <v>0.87999999999999901</v>
      </c>
    </row>
    <row r="13" spans="2:15" x14ac:dyDescent="0.2">
      <c r="B13" s="39">
        <v>24002</v>
      </c>
      <c r="C13" s="40" t="s">
        <v>84</v>
      </c>
      <c r="D13" s="40" t="s">
        <v>77</v>
      </c>
      <c r="E13" s="40" t="s">
        <v>0</v>
      </c>
      <c r="F13" s="40">
        <v>2</v>
      </c>
      <c r="G13" s="41">
        <v>2.29</v>
      </c>
      <c r="H13" s="42">
        <f t="shared" si="0"/>
        <v>4.58</v>
      </c>
      <c r="I13" s="41">
        <v>2</v>
      </c>
      <c r="J13" s="42">
        <f t="shared" si="1"/>
        <v>0.58000000000000007</v>
      </c>
      <c r="M13" s="38">
        <v>24004</v>
      </c>
      <c r="N13" s="43">
        <v>30.25</v>
      </c>
      <c r="O13" s="43">
        <v>3.2999999999999972</v>
      </c>
    </row>
    <row r="14" spans="2:15" x14ac:dyDescent="0.2">
      <c r="B14" s="39">
        <v>24003</v>
      </c>
      <c r="C14" s="40" t="s">
        <v>85</v>
      </c>
      <c r="D14" s="40" t="s">
        <v>77</v>
      </c>
      <c r="E14" s="40" t="s">
        <v>0</v>
      </c>
      <c r="F14" s="40">
        <v>2</v>
      </c>
      <c r="G14" s="37">
        <v>4.59</v>
      </c>
      <c r="H14" s="42">
        <f t="shared" si="0"/>
        <v>9.18</v>
      </c>
      <c r="I14" s="37">
        <v>4.1500000000000004</v>
      </c>
      <c r="J14" s="42">
        <f t="shared" si="1"/>
        <v>0.87999999999999901</v>
      </c>
      <c r="M14" s="38">
        <v>24005</v>
      </c>
      <c r="N14" s="43">
        <v>12</v>
      </c>
      <c r="O14" s="43">
        <v>1.5</v>
      </c>
    </row>
    <row r="15" spans="2:15" x14ac:dyDescent="0.2">
      <c r="B15" s="39">
        <v>24004</v>
      </c>
      <c r="C15" s="40" t="s">
        <v>86</v>
      </c>
      <c r="D15" s="40" t="s">
        <v>82</v>
      </c>
      <c r="E15" s="40" t="s">
        <v>0</v>
      </c>
      <c r="F15" s="40">
        <v>1</v>
      </c>
      <c r="G15" s="41">
        <v>6.25</v>
      </c>
      <c r="H15" s="42">
        <f t="shared" si="0"/>
        <v>6.25</v>
      </c>
      <c r="I15" s="41">
        <v>5.75</v>
      </c>
      <c r="J15" s="42">
        <f t="shared" si="1"/>
        <v>0.5</v>
      </c>
      <c r="M15" s="38">
        <v>24006</v>
      </c>
      <c r="N15" s="43">
        <v>4.59</v>
      </c>
      <c r="O15" s="43">
        <v>0.4399999999999995</v>
      </c>
    </row>
    <row r="16" spans="2:15" x14ac:dyDescent="0.2">
      <c r="B16" s="39">
        <v>24004</v>
      </c>
      <c r="C16" s="40" t="s">
        <v>89</v>
      </c>
      <c r="D16" s="40" t="s">
        <v>78</v>
      </c>
      <c r="E16" s="40" t="s">
        <v>0</v>
      </c>
      <c r="F16" s="40">
        <v>1</v>
      </c>
      <c r="G16" s="41">
        <v>3</v>
      </c>
      <c r="H16" s="42">
        <f t="shared" si="0"/>
        <v>3</v>
      </c>
      <c r="I16" s="41">
        <v>2</v>
      </c>
      <c r="J16" s="42">
        <f t="shared" si="1"/>
        <v>1</v>
      </c>
      <c r="M16" s="38">
        <v>24007</v>
      </c>
      <c r="N16" s="43">
        <v>36</v>
      </c>
      <c r="O16" s="43">
        <v>5.3599999999999977</v>
      </c>
    </row>
    <row r="17" spans="2:15" x14ac:dyDescent="0.2">
      <c r="B17" s="39">
        <v>24004</v>
      </c>
      <c r="C17" s="40" t="s">
        <v>83</v>
      </c>
      <c r="D17" s="40" t="s">
        <v>82</v>
      </c>
      <c r="E17" s="40" t="s">
        <v>0</v>
      </c>
      <c r="F17" s="40">
        <v>12</v>
      </c>
      <c r="G17" s="41">
        <v>1.75</v>
      </c>
      <c r="H17" s="42">
        <f t="shared" si="0"/>
        <v>21</v>
      </c>
      <c r="I17" s="41">
        <v>1.6</v>
      </c>
      <c r="J17" s="42">
        <f t="shared" si="1"/>
        <v>1.7999999999999972</v>
      </c>
      <c r="M17" s="38">
        <v>24008</v>
      </c>
      <c r="N17" s="43">
        <v>12</v>
      </c>
      <c r="O17" s="43">
        <v>0.95999999999999908</v>
      </c>
    </row>
    <row r="18" spans="2:15" x14ac:dyDescent="0.2">
      <c r="B18" s="39">
        <v>24005</v>
      </c>
      <c r="C18" s="40" t="s">
        <v>81</v>
      </c>
      <c r="D18" s="40" t="s">
        <v>82</v>
      </c>
      <c r="E18" s="40" t="s">
        <v>0</v>
      </c>
      <c r="F18" s="40">
        <v>1</v>
      </c>
      <c r="G18" s="41">
        <v>12</v>
      </c>
      <c r="H18" s="42">
        <f t="shared" si="0"/>
        <v>12</v>
      </c>
      <c r="I18" s="41">
        <v>10.5</v>
      </c>
      <c r="J18" s="42">
        <f t="shared" si="1"/>
        <v>1.5</v>
      </c>
      <c r="M18" s="38">
        <v>24009</v>
      </c>
      <c r="N18" s="43">
        <v>10.5</v>
      </c>
      <c r="O18" s="43">
        <v>0.89999999999999858</v>
      </c>
    </row>
    <row r="19" spans="2:15" x14ac:dyDescent="0.2">
      <c r="B19" s="39">
        <v>24006</v>
      </c>
      <c r="C19" s="40" t="s">
        <v>85</v>
      </c>
      <c r="D19" s="40" t="s">
        <v>77</v>
      </c>
      <c r="E19" s="40" t="s">
        <v>0</v>
      </c>
      <c r="F19" s="40">
        <v>1</v>
      </c>
      <c r="G19" s="37">
        <v>4.59</v>
      </c>
      <c r="H19" s="42">
        <f t="shared" si="0"/>
        <v>4.59</v>
      </c>
      <c r="I19" s="37">
        <v>4.1500000000000004</v>
      </c>
      <c r="J19" s="42">
        <f t="shared" si="1"/>
        <v>0.4399999999999995</v>
      </c>
      <c r="M19" s="38">
        <v>24010</v>
      </c>
      <c r="N19" s="43">
        <v>9.16</v>
      </c>
      <c r="O19" s="43">
        <v>1.1600000000000001</v>
      </c>
    </row>
    <row r="20" spans="2:15" x14ac:dyDescent="0.2">
      <c r="B20" s="39">
        <v>24007</v>
      </c>
      <c r="C20" s="40" t="s">
        <v>90</v>
      </c>
      <c r="D20" s="40" t="s">
        <v>80</v>
      </c>
      <c r="E20" s="40" t="s">
        <v>0</v>
      </c>
      <c r="F20" s="40">
        <v>24</v>
      </c>
      <c r="G20" s="41">
        <v>0.75</v>
      </c>
      <c r="H20" s="42">
        <f t="shared" si="0"/>
        <v>18</v>
      </c>
      <c r="I20" s="41">
        <v>0.65</v>
      </c>
      <c r="J20" s="42">
        <f t="shared" si="1"/>
        <v>2.3999999999999986</v>
      </c>
      <c r="M20" s="38">
        <v>24011</v>
      </c>
      <c r="N20" s="43">
        <v>119</v>
      </c>
      <c r="O20" s="43">
        <v>26.719999999999992</v>
      </c>
    </row>
    <row r="21" spans="2:15" x14ac:dyDescent="0.2">
      <c r="B21" s="39">
        <v>24007</v>
      </c>
      <c r="C21" s="40" t="s">
        <v>89</v>
      </c>
      <c r="D21" s="40" t="s">
        <v>78</v>
      </c>
      <c r="E21" s="40" t="s">
        <v>0</v>
      </c>
      <c r="F21" s="40">
        <v>2</v>
      </c>
      <c r="G21" s="41">
        <v>3</v>
      </c>
      <c r="H21" s="42">
        <f t="shared" si="0"/>
        <v>6</v>
      </c>
      <c r="I21" s="41">
        <v>2</v>
      </c>
      <c r="J21" s="42">
        <f t="shared" si="1"/>
        <v>2</v>
      </c>
      <c r="M21" s="38">
        <v>24012</v>
      </c>
      <c r="N21" s="43">
        <v>42.04</v>
      </c>
      <c r="O21" s="43">
        <v>18.139999999999997</v>
      </c>
    </row>
    <row r="22" spans="2:15" x14ac:dyDescent="0.2">
      <c r="B22" s="39">
        <v>24007</v>
      </c>
      <c r="C22" s="40" t="s">
        <v>93</v>
      </c>
      <c r="D22" s="40" t="s">
        <v>80</v>
      </c>
      <c r="E22" s="40" t="s">
        <v>0</v>
      </c>
      <c r="F22" s="40">
        <v>12</v>
      </c>
      <c r="G22" s="41">
        <v>1</v>
      </c>
      <c r="H22" s="42">
        <f t="shared" si="0"/>
        <v>12</v>
      </c>
      <c r="I22" s="41">
        <v>0.92</v>
      </c>
      <c r="J22" s="42">
        <f t="shared" si="1"/>
        <v>0.95999999999999908</v>
      </c>
      <c r="M22" s="38">
        <v>24013</v>
      </c>
      <c r="N22" s="43">
        <v>50.29</v>
      </c>
      <c r="O22" s="43">
        <v>5.6899999999999951</v>
      </c>
    </row>
    <row r="23" spans="2:15" x14ac:dyDescent="0.2">
      <c r="B23" s="39">
        <v>24008</v>
      </c>
      <c r="C23" s="40" t="s">
        <v>93</v>
      </c>
      <c r="D23" s="40" t="s">
        <v>80</v>
      </c>
      <c r="E23" s="40" t="s">
        <v>0</v>
      </c>
      <c r="F23" s="40">
        <v>12</v>
      </c>
      <c r="G23" s="41">
        <v>1</v>
      </c>
      <c r="H23" s="42">
        <f t="shared" si="0"/>
        <v>12</v>
      </c>
      <c r="I23" s="41">
        <v>0.92</v>
      </c>
      <c r="J23" s="42">
        <f t="shared" si="1"/>
        <v>0.95999999999999908</v>
      </c>
      <c r="M23" s="38">
        <v>24014</v>
      </c>
      <c r="N23" s="43">
        <v>100.5</v>
      </c>
      <c r="O23" s="43">
        <v>13.299999999999994</v>
      </c>
    </row>
    <row r="24" spans="2:15" x14ac:dyDescent="0.2">
      <c r="B24" s="39">
        <v>24009</v>
      </c>
      <c r="C24" s="40" t="s">
        <v>83</v>
      </c>
      <c r="D24" s="40" t="s">
        <v>82</v>
      </c>
      <c r="E24" s="40" t="s">
        <v>0</v>
      </c>
      <c r="F24" s="40">
        <v>6</v>
      </c>
      <c r="G24" s="41">
        <v>1.75</v>
      </c>
      <c r="H24" s="42">
        <f t="shared" si="0"/>
        <v>10.5</v>
      </c>
      <c r="I24" s="41">
        <v>1.6</v>
      </c>
      <c r="J24" s="42">
        <f t="shared" si="1"/>
        <v>0.89999999999999858</v>
      </c>
      <c r="M24" s="38">
        <v>24015</v>
      </c>
      <c r="N24" s="43">
        <v>71.08</v>
      </c>
      <c r="O24" s="43">
        <v>16.379999999999995</v>
      </c>
    </row>
    <row r="25" spans="2:15" x14ac:dyDescent="0.2">
      <c r="B25" s="39">
        <v>24010</v>
      </c>
      <c r="C25" s="40" t="s">
        <v>92</v>
      </c>
      <c r="D25" s="40" t="s">
        <v>77</v>
      </c>
      <c r="E25" s="40" t="s">
        <v>0</v>
      </c>
      <c r="F25" s="40">
        <v>4</v>
      </c>
      <c r="G25" s="41">
        <v>2.29</v>
      </c>
      <c r="H25" s="42">
        <f t="shared" si="0"/>
        <v>9.16</v>
      </c>
      <c r="I25" s="41">
        <v>2</v>
      </c>
      <c r="J25" s="42">
        <f t="shared" si="1"/>
        <v>1.1600000000000001</v>
      </c>
      <c r="M25" s="38">
        <v>24016</v>
      </c>
      <c r="N25" s="43">
        <v>16.59</v>
      </c>
      <c r="O25" s="43">
        <v>1.3999999999999986</v>
      </c>
    </row>
    <row r="26" spans="2:15" x14ac:dyDescent="0.2">
      <c r="B26" s="39">
        <v>24011</v>
      </c>
      <c r="C26" s="40" t="s">
        <v>86</v>
      </c>
      <c r="D26" s="40" t="s">
        <v>82</v>
      </c>
      <c r="E26" s="40" t="s">
        <v>0</v>
      </c>
      <c r="F26" s="40">
        <v>2</v>
      </c>
      <c r="G26" s="41">
        <v>6.25</v>
      </c>
      <c r="H26" s="42">
        <f t="shared" si="0"/>
        <v>12.5</v>
      </c>
      <c r="I26" s="41">
        <v>0.9</v>
      </c>
      <c r="J26" s="42">
        <f t="shared" si="1"/>
        <v>10.7</v>
      </c>
      <c r="M26" s="38">
        <v>24017</v>
      </c>
      <c r="N26" s="43">
        <v>87</v>
      </c>
      <c r="O26" s="43">
        <v>9.4799999999999898</v>
      </c>
    </row>
    <row r="27" spans="2:15" x14ac:dyDescent="0.2">
      <c r="B27" s="39">
        <v>24011</v>
      </c>
      <c r="C27" s="40" t="s">
        <v>83</v>
      </c>
      <c r="D27" s="40" t="s">
        <v>82</v>
      </c>
      <c r="E27" s="40" t="s">
        <v>0</v>
      </c>
      <c r="F27" s="40">
        <v>6</v>
      </c>
      <c r="G27" s="41">
        <v>1.75</v>
      </c>
      <c r="H27" s="42">
        <f t="shared" si="0"/>
        <v>10.5</v>
      </c>
      <c r="I27" s="41">
        <v>1.6</v>
      </c>
      <c r="J27" s="42">
        <f t="shared" si="1"/>
        <v>0.89999999999999858</v>
      </c>
      <c r="M27" s="38">
        <v>24018</v>
      </c>
      <c r="N27" s="43">
        <v>2.29</v>
      </c>
      <c r="O27" s="43">
        <v>0.29000000000000004</v>
      </c>
    </row>
    <row r="28" spans="2:15" x14ac:dyDescent="0.2">
      <c r="B28" s="39">
        <v>24011</v>
      </c>
      <c r="C28" s="40" t="s">
        <v>93</v>
      </c>
      <c r="D28" s="40" t="s">
        <v>80</v>
      </c>
      <c r="E28" s="40" t="s">
        <v>0</v>
      </c>
      <c r="F28" s="40">
        <v>24</v>
      </c>
      <c r="G28" s="41">
        <v>1</v>
      </c>
      <c r="H28" s="42">
        <f t="shared" si="0"/>
        <v>24</v>
      </c>
      <c r="I28" s="41">
        <v>0.92</v>
      </c>
      <c r="J28" s="42">
        <f t="shared" si="1"/>
        <v>1.9199999999999982</v>
      </c>
      <c r="M28" s="38">
        <v>24019</v>
      </c>
      <c r="N28" s="43">
        <v>6.25</v>
      </c>
      <c r="O28" s="43">
        <v>5.35</v>
      </c>
    </row>
    <row r="29" spans="2:15" x14ac:dyDescent="0.2">
      <c r="B29" s="39">
        <v>24011</v>
      </c>
      <c r="C29" s="40" t="s">
        <v>90</v>
      </c>
      <c r="D29" s="40" t="s">
        <v>80</v>
      </c>
      <c r="E29" s="40" t="s">
        <v>0</v>
      </c>
      <c r="F29" s="40">
        <v>72</v>
      </c>
      <c r="G29" s="41">
        <v>0.75</v>
      </c>
      <c r="H29" s="42">
        <f t="shared" si="0"/>
        <v>54</v>
      </c>
      <c r="I29" s="41">
        <v>0.65</v>
      </c>
      <c r="J29" s="42">
        <f t="shared" si="1"/>
        <v>7.1999999999999957</v>
      </c>
      <c r="M29" s="38">
        <v>24020</v>
      </c>
      <c r="N29" s="43">
        <v>10.5</v>
      </c>
      <c r="O29" s="43">
        <v>0.89999999999999858</v>
      </c>
    </row>
    <row r="30" spans="2:15" x14ac:dyDescent="0.2">
      <c r="B30" s="39">
        <v>24011</v>
      </c>
      <c r="C30" s="40" t="s">
        <v>89</v>
      </c>
      <c r="D30" s="40" t="s">
        <v>78</v>
      </c>
      <c r="E30" s="40" t="s">
        <v>0</v>
      </c>
      <c r="F30" s="40">
        <v>6</v>
      </c>
      <c r="G30" s="41">
        <v>3</v>
      </c>
      <c r="H30" s="42">
        <f t="shared" si="0"/>
        <v>18</v>
      </c>
      <c r="I30" s="41">
        <v>2</v>
      </c>
      <c r="J30" s="42">
        <f t="shared" si="1"/>
        <v>6</v>
      </c>
      <c r="M30" s="38">
        <v>24021</v>
      </c>
      <c r="N30" s="43">
        <v>4.58</v>
      </c>
      <c r="O30" s="43">
        <v>0.58000000000000007</v>
      </c>
    </row>
    <row r="31" spans="2:15" x14ac:dyDescent="0.2">
      <c r="B31" s="39">
        <v>24012</v>
      </c>
      <c r="C31" s="40" t="s">
        <v>83</v>
      </c>
      <c r="D31" s="40" t="s">
        <v>82</v>
      </c>
      <c r="E31" s="40" t="s">
        <v>0</v>
      </c>
      <c r="F31" s="40">
        <v>12</v>
      </c>
      <c r="G31" s="41">
        <v>1.75</v>
      </c>
      <c r="H31" s="42">
        <f t="shared" si="0"/>
        <v>21</v>
      </c>
      <c r="I31" s="41">
        <v>1.6</v>
      </c>
      <c r="J31" s="42">
        <f t="shared" si="1"/>
        <v>1.7999999999999972</v>
      </c>
      <c r="M31" s="38">
        <v>24022</v>
      </c>
      <c r="N31" s="43">
        <v>165</v>
      </c>
      <c r="O31" s="43">
        <v>19.159999999999997</v>
      </c>
    </row>
    <row r="32" spans="2:15" x14ac:dyDescent="0.2">
      <c r="B32" s="39">
        <v>24012</v>
      </c>
      <c r="C32" s="40" t="s">
        <v>91</v>
      </c>
      <c r="D32" s="40" t="s">
        <v>77</v>
      </c>
      <c r="E32" s="40" t="s">
        <v>0</v>
      </c>
      <c r="F32" s="40">
        <v>1</v>
      </c>
      <c r="G32" s="41">
        <v>2.29</v>
      </c>
      <c r="H32" s="42">
        <f t="shared" si="0"/>
        <v>2.29</v>
      </c>
      <c r="I32" s="41">
        <v>2</v>
      </c>
      <c r="J32" s="42">
        <f t="shared" si="1"/>
        <v>0.29000000000000004</v>
      </c>
      <c r="M32" s="38">
        <v>24023</v>
      </c>
      <c r="N32" s="43">
        <v>6.87</v>
      </c>
      <c r="O32" s="43">
        <v>0.87000000000000011</v>
      </c>
    </row>
    <row r="33" spans="2:15" x14ac:dyDescent="0.2">
      <c r="B33" s="39">
        <v>24012</v>
      </c>
      <c r="C33" s="40" t="s">
        <v>86</v>
      </c>
      <c r="D33" s="40" t="s">
        <v>82</v>
      </c>
      <c r="E33" s="40" t="s">
        <v>0</v>
      </c>
      <c r="F33" s="40">
        <v>3</v>
      </c>
      <c r="G33" s="41">
        <v>6.25</v>
      </c>
      <c r="H33" s="42">
        <f t="shared" si="0"/>
        <v>18.75</v>
      </c>
      <c r="I33" s="41">
        <v>0.9</v>
      </c>
      <c r="J33" s="42">
        <f t="shared" si="1"/>
        <v>16.05</v>
      </c>
      <c r="M33" s="38">
        <v>24024</v>
      </c>
      <c r="N33" s="43">
        <v>6.25</v>
      </c>
      <c r="O33" s="43">
        <v>5.35</v>
      </c>
    </row>
    <row r="34" spans="2:15" x14ac:dyDescent="0.2">
      <c r="B34" s="39">
        <v>24013</v>
      </c>
      <c r="C34" s="40" t="s">
        <v>83</v>
      </c>
      <c r="D34" s="40" t="s">
        <v>82</v>
      </c>
      <c r="E34" s="40" t="s">
        <v>0</v>
      </c>
      <c r="F34" s="40">
        <v>12</v>
      </c>
      <c r="G34" s="41">
        <v>1.75</v>
      </c>
      <c r="H34" s="42">
        <f t="shared" si="0"/>
        <v>21</v>
      </c>
      <c r="I34" s="41">
        <v>1.6</v>
      </c>
      <c r="J34" s="42">
        <f t="shared" si="1"/>
        <v>1.7999999999999972</v>
      </c>
      <c r="M34" s="38">
        <v>24025</v>
      </c>
      <c r="N34" s="43">
        <v>108.09</v>
      </c>
      <c r="O34" s="43">
        <v>13.539999999999997</v>
      </c>
    </row>
    <row r="35" spans="2:15" x14ac:dyDescent="0.2">
      <c r="B35" s="39">
        <v>24013</v>
      </c>
      <c r="C35" s="40" t="s">
        <v>92</v>
      </c>
      <c r="D35" s="40" t="s">
        <v>77</v>
      </c>
      <c r="E35" s="40" t="s">
        <v>0</v>
      </c>
      <c r="F35" s="40">
        <v>1</v>
      </c>
      <c r="G35" s="41">
        <v>2.29</v>
      </c>
      <c r="H35" s="42">
        <f t="shared" si="0"/>
        <v>2.29</v>
      </c>
      <c r="I35" s="41">
        <v>2</v>
      </c>
      <c r="J35" s="42">
        <f t="shared" si="1"/>
        <v>0.29000000000000004</v>
      </c>
      <c r="M35" s="38">
        <v>24026</v>
      </c>
      <c r="N35" s="43">
        <v>30</v>
      </c>
      <c r="O35" s="43">
        <v>3.4799999999999995</v>
      </c>
    </row>
    <row r="36" spans="2:15" x14ac:dyDescent="0.2">
      <c r="B36" s="39">
        <v>24013</v>
      </c>
      <c r="C36" s="40" t="s">
        <v>79</v>
      </c>
      <c r="D36" s="40" t="s">
        <v>80</v>
      </c>
      <c r="E36" s="40" t="s">
        <v>0</v>
      </c>
      <c r="F36" s="40">
        <v>36</v>
      </c>
      <c r="G36" s="41">
        <v>0.75</v>
      </c>
      <c r="H36" s="42">
        <f t="shared" si="0"/>
        <v>27</v>
      </c>
      <c r="I36" s="41">
        <v>0.65</v>
      </c>
      <c r="J36" s="42">
        <f t="shared" si="1"/>
        <v>3.5999999999999979</v>
      </c>
      <c r="M36" s="38" t="s">
        <v>94</v>
      </c>
      <c r="N36" s="43">
        <v>1002.6700000000002</v>
      </c>
      <c r="O36" s="43">
        <v>161.3899999999999</v>
      </c>
    </row>
    <row r="37" spans="2:15" x14ac:dyDescent="0.2">
      <c r="B37" s="39">
        <v>24014</v>
      </c>
      <c r="C37" s="40" t="s">
        <v>83</v>
      </c>
      <c r="D37" s="40" t="s">
        <v>82</v>
      </c>
      <c r="E37" s="40" t="s">
        <v>0</v>
      </c>
      <c r="F37" s="40">
        <v>18</v>
      </c>
      <c r="G37" s="41">
        <v>1.75</v>
      </c>
      <c r="H37" s="42">
        <f t="shared" si="0"/>
        <v>31.5</v>
      </c>
      <c r="I37" s="41">
        <v>1.6</v>
      </c>
      <c r="J37" s="42">
        <f t="shared" si="1"/>
        <v>2.6999999999999993</v>
      </c>
    </row>
    <row r="38" spans="2:15" x14ac:dyDescent="0.2">
      <c r="B38" s="39">
        <v>24014</v>
      </c>
      <c r="C38" s="40" t="s">
        <v>79</v>
      </c>
      <c r="D38" s="40" t="s">
        <v>80</v>
      </c>
      <c r="E38" s="40" t="s">
        <v>0</v>
      </c>
      <c r="F38" s="40">
        <v>48</v>
      </c>
      <c r="G38" s="41">
        <v>0.75</v>
      </c>
      <c r="H38" s="42">
        <f t="shared" si="0"/>
        <v>36</v>
      </c>
      <c r="I38" s="41">
        <v>0.65</v>
      </c>
      <c r="J38" s="42">
        <f t="shared" si="1"/>
        <v>4.7999999999999972</v>
      </c>
    </row>
    <row r="39" spans="2:15" x14ac:dyDescent="0.2">
      <c r="B39" s="39">
        <v>24014</v>
      </c>
      <c r="C39" s="40" t="s">
        <v>89</v>
      </c>
      <c r="D39" s="40" t="s">
        <v>78</v>
      </c>
      <c r="E39" s="40" t="s">
        <v>0</v>
      </c>
      <c r="F39" s="40">
        <v>4</v>
      </c>
      <c r="G39" s="41">
        <v>3</v>
      </c>
      <c r="H39" s="42">
        <f t="shared" si="0"/>
        <v>12</v>
      </c>
      <c r="I39" s="41">
        <v>2</v>
      </c>
      <c r="J39" s="42">
        <f t="shared" si="1"/>
        <v>4</v>
      </c>
    </row>
    <row r="40" spans="2:15" x14ac:dyDescent="0.2">
      <c r="B40" s="39">
        <v>24014</v>
      </c>
      <c r="C40" s="40" t="s">
        <v>83</v>
      </c>
      <c r="D40" s="40" t="s">
        <v>82</v>
      </c>
      <c r="E40" s="40" t="s">
        <v>95</v>
      </c>
      <c r="F40" s="40">
        <v>12</v>
      </c>
      <c r="G40" s="41">
        <v>1.75</v>
      </c>
      <c r="H40" s="42">
        <f t="shared" si="0"/>
        <v>21</v>
      </c>
      <c r="I40" s="41">
        <v>1.6</v>
      </c>
      <c r="J40" s="42">
        <f t="shared" si="1"/>
        <v>1.7999999999999972</v>
      </c>
    </row>
    <row r="41" spans="2:15" x14ac:dyDescent="0.2">
      <c r="B41" s="39">
        <v>24015</v>
      </c>
      <c r="C41" s="40" t="s">
        <v>76</v>
      </c>
      <c r="D41" s="40" t="s">
        <v>77</v>
      </c>
      <c r="E41" s="40" t="s">
        <v>95</v>
      </c>
      <c r="F41" s="40">
        <v>2</v>
      </c>
      <c r="G41" s="41">
        <v>2.29</v>
      </c>
      <c r="H41" s="42">
        <f t="shared" si="0"/>
        <v>4.58</v>
      </c>
      <c r="I41" s="41">
        <v>2</v>
      </c>
      <c r="J41" s="42">
        <f t="shared" si="1"/>
        <v>0.58000000000000007</v>
      </c>
    </row>
    <row r="42" spans="2:15" x14ac:dyDescent="0.2">
      <c r="B42" s="39">
        <v>24015</v>
      </c>
      <c r="C42" s="40" t="s">
        <v>86</v>
      </c>
      <c r="D42" s="40" t="s">
        <v>82</v>
      </c>
      <c r="E42" s="40" t="s">
        <v>95</v>
      </c>
      <c r="F42" s="40">
        <v>2</v>
      </c>
      <c r="G42" s="41">
        <v>6.25</v>
      </c>
      <c r="H42" s="42">
        <f t="shared" si="0"/>
        <v>12.5</v>
      </c>
      <c r="I42" s="41">
        <v>0.9</v>
      </c>
      <c r="J42" s="42">
        <f t="shared" si="1"/>
        <v>10.7</v>
      </c>
    </row>
    <row r="43" spans="2:15" x14ac:dyDescent="0.2">
      <c r="B43" s="39">
        <v>24015</v>
      </c>
      <c r="C43" s="40" t="s">
        <v>81</v>
      </c>
      <c r="D43" s="40" t="s">
        <v>82</v>
      </c>
      <c r="E43" s="40" t="s">
        <v>95</v>
      </c>
      <c r="F43" s="40">
        <v>1</v>
      </c>
      <c r="G43" s="41">
        <v>12</v>
      </c>
      <c r="H43" s="42">
        <f t="shared" si="0"/>
        <v>12</v>
      </c>
      <c r="I43" s="41">
        <v>10.5</v>
      </c>
      <c r="J43" s="42">
        <f t="shared" si="1"/>
        <v>1.5</v>
      </c>
    </row>
    <row r="44" spans="2:15" x14ac:dyDescent="0.2">
      <c r="B44" s="39">
        <v>24015</v>
      </c>
      <c r="C44" s="40" t="s">
        <v>83</v>
      </c>
      <c r="D44" s="40" t="s">
        <v>82</v>
      </c>
      <c r="E44" s="40" t="s">
        <v>95</v>
      </c>
      <c r="F44" s="40">
        <v>24</v>
      </c>
      <c r="G44" s="41">
        <v>1.75</v>
      </c>
      <c r="H44" s="42">
        <f t="shared" si="0"/>
        <v>42</v>
      </c>
      <c r="I44" s="41">
        <v>1.6</v>
      </c>
      <c r="J44" s="42">
        <f t="shared" si="1"/>
        <v>3.5999999999999943</v>
      </c>
    </row>
    <row r="45" spans="2:15" x14ac:dyDescent="0.2">
      <c r="B45" s="39">
        <v>24016</v>
      </c>
      <c r="C45" s="40" t="s">
        <v>93</v>
      </c>
      <c r="D45" s="40" t="s">
        <v>80</v>
      </c>
      <c r="E45" s="40" t="s">
        <v>95</v>
      </c>
      <c r="F45" s="40">
        <v>12</v>
      </c>
      <c r="G45" s="41">
        <v>1</v>
      </c>
      <c r="H45" s="42">
        <f t="shared" si="0"/>
        <v>12</v>
      </c>
      <c r="I45" s="41">
        <v>0.92</v>
      </c>
      <c r="J45" s="42">
        <f t="shared" si="1"/>
        <v>0.95999999999999908</v>
      </c>
    </row>
    <row r="46" spans="2:15" x14ac:dyDescent="0.2">
      <c r="B46" s="39">
        <v>24016</v>
      </c>
      <c r="C46" s="40" t="s">
        <v>85</v>
      </c>
      <c r="D46" s="40" t="s">
        <v>77</v>
      </c>
      <c r="E46" s="40" t="s">
        <v>95</v>
      </c>
      <c r="F46" s="40">
        <v>1</v>
      </c>
      <c r="G46" s="37">
        <v>4.59</v>
      </c>
      <c r="H46" s="42">
        <f t="shared" si="0"/>
        <v>4.59</v>
      </c>
      <c r="I46" s="37">
        <v>4.1500000000000004</v>
      </c>
      <c r="J46" s="42">
        <f t="shared" si="1"/>
        <v>0.4399999999999995</v>
      </c>
    </row>
    <row r="47" spans="2:15" x14ac:dyDescent="0.2">
      <c r="B47" s="39">
        <v>24017</v>
      </c>
      <c r="C47" s="40" t="s">
        <v>93</v>
      </c>
      <c r="D47" s="40" t="s">
        <v>80</v>
      </c>
      <c r="E47" s="40" t="s">
        <v>95</v>
      </c>
      <c r="F47" s="40">
        <v>36</v>
      </c>
      <c r="G47" s="41">
        <v>1</v>
      </c>
      <c r="H47" s="42">
        <f t="shared" si="0"/>
        <v>36</v>
      </c>
      <c r="I47" s="41">
        <v>0.92</v>
      </c>
      <c r="J47" s="42">
        <f t="shared" si="1"/>
        <v>2.8799999999999955</v>
      </c>
    </row>
    <row r="48" spans="2:15" x14ac:dyDescent="0.2">
      <c r="B48" s="39">
        <v>24017</v>
      </c>
      <c r="C48" s="40" t="s">
        <v>89</v>
      </c>
      <c r="D48" s="40" t="s">
        <v>78</v>
      </c>
      <c r="E48" s="40" t="s">
        <v>95</v>
      </c>
      <c r="F48" s="40">
        <v>3</v>
      </c>
      <c r="G48" s="41">
        <v>3</v>
      </c>
      <c r="H48" s="42">
        <f t="shared" si="0"/>
        <v>9</v>
      </c>
      <c r="I48" s="41">
        <v>2</v>
      </c>
      <c r="J48" s="42">
        <f t="shared" si="1"/>
        <v>3</v>
      </c>
    </row>
    <row r="49" spans="2:10" x14ac:dyDescent="0.2">
      <c r="B49" s="39">
        <v>24017</v>
      </c>
      <c r="C49" s="40" t="s">
        <v>83</v>
      </c>
      <c r="D49" s="40" t="s">
        <v>82</v>
      </c>
      <c r="E49" s="40" t="s">
        <v>95</v>
      </c>
      <c r="F49" s="40">
        <v>24</v>
      </c>
      <c r="G49" s="41">
        <v>1.75</v>
      </c>
      <c r="H49" s="42">
        <f t="shared" si="0"/>
        <v>42</v>
      </c>
      <c r="I49" s="41">
        <v>1.6</v>
      </c>
      <c r="J49" s="42">
        <f t="shared" si="1"/>
        <v>3.5999999999999943</v>
      </c>
    </row>
    <row r="50" spans="2:10" x14ac:dyDescent="0.2">
      <c r="B50" s="39">
        <v>24018</v>
      </c>
      <c r="C50" s="40" t="s">
        <v>76</v>
      </c>
      <c r="D50" s="40" t="s">
        <v>77</v>
      </c>
      <c r="E50" s="40" t="s">
        <v>95</v>
      </c>
      <c r="F50" s="40">
        <v>1</v>
      </c>
      <c r="G50" s="41">
        <v>2.29</v>
      </c>
      <c r="H50" s="42">
        <f t="shared" si="0"/>
        <v>2.29</v>
      </c>
      <c r="I50" s="41">
        <v>2</v>
      </c>
      <c r="J50" s="42">
        <f t="shared" si="1"/>
        <v>0.29000000000000004</v>
      </c>
    </row>
    <row r="51" spans="2:10" x14ac:dyDescent="0.2">
      <c r="B51" s="39">
        <v>24019</v>
      </c>
      <c r="C51" s="40" t="s">
        <v>86</v>
      </c>
      <c r="D51" s="40" t="s">
        <v>82</v>
      </c>
      <c r="E51" s="40" t="s">
        <v>95</v>
      </c>
      <c r="F51" s="40">
        <v>1</v>
      </c>
      <c r="G51" s="41">
        <v>6.25</v>
      </c>
      <c r="H51" s="42">
        <f t="shared" si="0"/>
        <v>6.25</v>
      </c>
      <c r="I51" s="41">
        <v>0.9</v>
      </c>
      <c r="J51" s="42">
        <f t="shared" si="1"/>
        <v>5.35</v>
      </c>
    </row>
    <row r="52" spans="2:10" x14ac:dyDescent="0.2">
      <c r="B52" s="39">
        <v>24020</v>
      </c>
      <c r="C52" s="40" t="s">
        <v>83</v>
      </c>
      <c r="D52" s="40" t="s">
        <v>82</v>
      </c>
      <c r="E52" s="40" t="s">
        <v>96</v>
      </c>
      <c r="F52" s="40">
        <v>6</v>
      </c>
      <c r="G52" s="41">
        <v>1.75</v>
      </c>
      <c r="H52" s="42">
        <f t="shared" si="0"/>
        <v>10.5</v>
      </c>
      <c r="I52" s="41">
        <v>1.6</v>
      </c>
      <c r="J52" s="42">
        <f t="shared" si="1"/>
        <v>0.89999999999999858</v>
      </c>
    </row>
    <row r="53" spans="2:10" x14ac:dyDescent="0.2">
      <c r="B53" s="39">
        <v>24021</v>
      </c>
      <c r="C53" s="40" t="s">
        <v>92</v>
      </c>
      <c r="D53" s="40" t="s">
        <v>77</v>
      </c>
      <c r="E53" s="40" t="s">
        <v>96</v>
      </c>
      <c r="F53" s="40">
        <v>2</v>
      </c>
      <c r="G53" s="41">
        <v>2.29</v>
      </c>
      <c r="H53" s="42">
        <f t="shared" si="0"/>
        <v>4.58</v>
      </c>
      <c r="I53" s="41">
        <v>2</v>
      </c>
      <c r="J53" s="42">
        <f t="shared" si="1"/>
        <v>0.58000000000000007</v>
      </c>
    </row>
    <row r="54" spans="2:10" x14ac:dyDescent="0.2">
      <c r="B54" s="39">
        <v>24022</v>
      </c>
      <c r="C54" s="40" t="s">
        <v>90</v>
      </c>
      <c r="D54" s="40" t="s">
        <v>80</v>
      </c>
      <c r="E54" s="40" t="s">
        <v>96</v>
      </c>
      <c r="F54" s="40">
        <v>12</v>
      </c>
      <c r="G54" s="41">
        <v>0.75</v>
      </c>
      <c r="H54" s="42">
        <f t="shared" si="0"/>
        <v>9</v>
      </c>
      <c r="I54" s="41">
        <v>0.65</v>
      </c>
      <c r="J54" s="42">
        <f t="shared" si="1"/>
        <v>1.1999999999999993</v>
      </c>
    </row>
    <row r="55" spans="2:10" x14ac:dyDescent="0.2">
      <c r="B55" s="39">
        <v>24022</v>
      </c>
      <c r="C55" s="40" t="s">
        <v>81</v>
      </c>
      <c r="D55" s="40" t="s">
        <v>82</v>
      </c>
      <c r="E55" s="40" t="s">
        <v>96</v>
      </c>
      <c r="F55" s="40">
        <v>2</v>
      </c>
      <c r="G55" s="41">
        <v>12</v>
      </c>
      <c r="H55" s="42">
        <f t="shared" si="0"/>
        <v>24</v>
      </c>
      <c r="I55" s="41">
        <v>10.5</v>
      </c>
      <c r="J55" s="42">
        <f t="shared" si="1"/>
        <v>3</v>
      </c>
    </row>
    <row r="56" spans="2:10" x14ac:dyDescent="0.2">
      <c r="B56" s="39">
        <v>24022</v>
      </c>
      <c r="C56" s="40" t="s">
        <v>93</v>
      </c>
      <c r="D56" s="40" t="s">
        <v>80</v>
      </c>
      <c r="E56" s="40" t="s">
        <v>96</v>
      </c>
      <c r="F56" s="40">
        <v>12</v>
      </c>
      <c r="G56" s="41">
        <v>1</v>
      </c>
      <c r="H56" s="42">
        <f t="shared" si="0"/>
        <v>12</v>
      </c>
      <c r="I56" s="41">
        <v>0.92</v>
      </c>
      <c r="J56" s="42">
        <f t="shared" si="1"/>
        <v>0.95999999999999908</v>
      </c>
    </row>
    <row r="57" spans="2:10" x14ac:dyDescent="0.2">
      <c r="B57" s="39">
        <v>24022</v>
      </c>
      <c r="C57" s="40" t="s">
        <v>83</v>
      </c>
      <c r="D57" s="40" t="s">
        <v>82</v>
      </c>
      <c r="E57" s="40" t="s">
        <v>96</v>
      </c>
      <c r="F57" s="40">
        <v>60</v>
      </c>
      <c r="G57" s="41">
        <v>1.75</v>
      </c>
      <c r="H57" s="42">
        <f t="shared" si="0"/>
        <v>105</v>
      </c>
      <c r="I57" s="41">
        <v>1.6</v>
      </c>
      <c r="J57" s="42">
        <f t="shared" si="1"/>
        <v>9</v>
      </c>
    </row>
    <row r="58" spans="2:10" x14ac:dyDescent="0.2">
      <c r="B58" s="39">
        <v>24022</v>
      </c>
      <c r="C58" s="40" t="s">
        <v>89</v>
      </c>
      <c r="D58" s="40" t="s">
        <v>78</v>
      </c>
      <c r="E58" s="40" t="s">
        <v>96</v>
      </c>
      <c r="F58" s="40">
        <v>5</v>
      </c>
      <c r="G58" s="41">
        <v>3</v>
      </c>
      <c r="H58" s="42">
        <f t="shared" si="0"/>
        <v>15</v>
      </c>
      <c r="I58" s="41">
        <v>2</v>
      </c>
      <c r="J58" s="42">
        <f t="shared" si="1"/>
        <v>5</v>
      </c>
    </row>
    <row r="59" spans="2:10" x14ac:dyDescent="0.2">
      <c r="B59" s="39">
        <v>24023</v>
      </c>
      <c r="C59" s="40" t="s">
        <v>91</v>
      </c>
      <c r="D59" s="40" t="s">
        <v>77</v>
      </c>
      <c r="E59" s="40" t="s">
        <v>96</v>
      </c>
      <c r="F59" s="40">
        <v>3</v>
      </c>
      <c r="G59" s="41">
        <v>2.29</v>
      </c>
      <c r="H59" s="42">
        <f t="shared" si="0"/>
        <v>6.87</v>
      </c>
      <c r="I59" s="41">
        <v>2</v>
      </c>
      <c r="J59" s="42">
        <f t="shared" si="1"/>
        <v>0.87000000000000011</v>
      </c>
    </row>
    <row r="60" spans="2:10" x14ac:dyDescent="0.2">
      <c r="B60" s="39">
        <v>24024</v>
      </c>
      <c r="C60" s="40" t="s">
        <v>86</v>
      </c>
      <c r="D60" s="40" t="s">
        <v>82</v>
      </c>
      <c r="E60" s="40" t="s">
        <v>96</v>
      </c>
      <c r="F60" s="40">
        <v>1</v>
      </c>
      <c r="G60" s="41">
        <v>6.25</v>
      </c>
      <c r="H60" s="42">
        <f t="shared" si="0"/>
        <v>6.25</v>
      </c>
      <c r="I60" s="41">
        <v>0.9</v>
      </c>
      <c r="J60" s="42">
        <f t="shared" si="1"/>
        <v>5.35</v>
      </c>
    </row>
    <row r="61" spans="2:10" x14ac:dyDescent="0.2">
      <c r="B61" s="39">
        <v>24025</v>
      </c>
      <c r="C61" s="40" t="s">
        <v>83</v>
      </c>
      <c r="D61" s="40" t="s">
        <v>82</v>
      </c>
      <c r="E61" s="40" t="s">
        <v>96</v>
      </c>
      <c r="F61" s="40">
        <v>18</v>
      </c>
      <c r="G61" s="41">
        <v>1.75</v>
      </c>
      <c r="H61" s="42">
        <f t="shared" si="0"/>
        <v>31.5</v>
      </c>
      <c r="I61" s="41">
        <v>1.6</v>
      </c>
      <c r="J61" s="42">
        <f t="shared" si="1"/>
        <v>2.6999999999999993</v>
      </c>
    </row>
    <row r="62" spans="2:10" x14ac:dyDescent="0.2">
      <c r="B62" s="39">
        <v>24025</v>
      </c>
      <c r="C62" s="40" t="s">
        <v>81</v>
      </c>
      <c r="D62" s="40" t="s">
        <v>82</v>
      </c>
      <c r="E62" s="40" t="s">
        <v>96</v>
      </c>
      <c r="F62" s="40">
        <v>4</v>
      </c>
      <c r="G62" s="41">
        <v>12</v>
      </c>
      <c r="H62" s="42">
        <f t="shared" si="0"/>
        <v>48</v>
      </c>
      <c r="I62" s="41">
        <v>10.5</v>
      </c>
      <c r="J62" s="42">
        <f t="shared" si="1"/>
        <v>6</v>
      </c>
    </row>
    <row r="63" spans="2:10" x14ac:dyDescent="0.2">
      <c r="B63" s="39">
        <v>24025</v>
      </c>
      <c r="C63" s="40" t="s">
        <v>85</v>
      </c>
      <c r="D63" s="40" t="s">
        <v>77</v>
      </c>
      <c r="E63" s="40" t="s">
        <v>96</v>
      </c>
      <c r="F63" s="40">
        <v>1</v>
      </c>
      <c r="G63" s="37">
        <v>4.59</v>
      </c>
      <c r="H63" s="42">
        <f t="shared" si="0"/>
        <v>4.59</v>
      </c>
      <c r="I63" s="37">
        <v>4.1500000000000004</v>
      </c>
      <c r="J63" s="42">
        <f t="shared" si="1"/>
        <v>0.4399999999999995</v>
      </c>
    </row>
    <row r="64" spans="2:10" x14ac:dyDescent="0.2">
      <c r="B64" s="39">
        <v>24025</v>
      </c>
      <c r="C64" s="40" t="s">
        <v>90</v>
      </c>
      <c r="D64" s="40" t="s">
        <v>80</v>
      </c>
      <c r="E64" s="40" t="s">
        <v>96</v>
      </c>
      <c r="F64" s="40">
        <v>24</v>
      </c>
      <c r="G64" s="41">
        <v>0.75</v>
      </c>
      <c r="H64" s="42">
        <f t="shared" si="0"/>
        <v>18</v>
      </c>
      <c r="I64" s="41">
        <v>0.65</v>
      </c>
      <c r="J64" s="42">
        <f t="shared" si="1"/>
        <v>2.3999999999999986</v>
      </c>
    </row>
    <row r="65" spans="2:10" x14ac:dyDescent="0.2">
      <c r="B65" s="39">
        <v>24025</v>
      </c>
      <c r="C65" s="40" t="s">
        <v>89</v>
      </c>
      <c r="D65" s="40" t="s">
        <v>78</v>
      </c>
      <c r="E65" s="40" t="s">
        <v>96</v>
      </c>
      <c r="F65" s="40">
        <v>2</v>
      </c>
      <c r="G65" s="41">
        <v>3</v>
      </c>
      <c r="H65" s="42">
        <f t="shared" si="0"/>
        <v>6</v>
      </c>
      <c r="I65" s="41">
        <v>2</v>
      </c>
      <c r="J65" s="42">
        <f t="shared" si="1"/>
        <v>2</v>
      </c>
    </row>
    <row r="66" spans="2:10" x14ac:dyDescent="0.2">
      <c r="B66" s="39">
        <v>24026</v>
      </c>
      <c r="C66" s="40" t="s">
        <v>81</v>
      </c>
      <c r="D66" s="40" t="s">
        <v>82</v>
      </c>
      <c r="E66" s="40" t="s">
        <v>96</v>
      </c>
      <c r="F66" s="40">
        <v>2</v>
      </c>
      <c r="G66" s="41">
        <v>12</v>
      </c>
      <c r="H66" s="42">
        <f t="shared" si="0"/>
        <v>24</v>
      </c>
      <c r="I66" s="41">
        <v>10.5</v>
      </c>
      <c r="J66" s="42">
        <f t="shared" si="1"/>
        <v>3</v>
      </c>
    </row>
    <row r="67" spans="2:10" x14ac:dyDescent="0.2">
      <c r="B67" s="39">
        <v>24026</v>
      </c>
      <c r="C67" s="40" t="s">
        <v>93</v>
      </c>
      <c r="D67" s="40" t="s">
        <v>80</v>
      </c>
      <c r="E67" s="40" t="s">
        <v>96</v>
      </c>
      <c r="F67" s="40">
        <v>6</v>
      </c>
      <c r="G67" s="41">
        <v>1</v>
      </c>
      <c r="H67" s="42">
        <f t="shared" si="0"/>
        <v>6</v>
      </c>
      <c r="I67" s="41">
        <v>0.92</v>
      </c>
      <c r="J67" s="42">
        <f t="shared" si="1"/>
        <v>0.47999999999999954</v>
      </c>
    </row>
  </sheetData>
  <mergeCells count="2">
    <mergeCell ref="B2:H2"/>
    <mergeCell ref="B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2C4C-6EDA-784B-B7ED-A3A4AAC804A5}">
  <dimension ref="B1:H52"/>
  <sheetViews>
    <sheetView zoomScale="145" zoomScaleNormal="145" workbookViewId="0">
      <selection activeCell="I18" sqref="I18"/>
    </sheetView>
  </sheetViews>
  <sheetFormatPr baseColWidth="10" defaultColWidth="8.83203125" defaultRowHeight="15" x14ac:dyDescent="0.2"/>
  <cols>
    <col min="1" max="1" width="1.1640625" style="3" customWidth="1"/>
    <col min="2" max="2" width="30.5" style="3" customWidth="1"/>
    <col min="3" max="3" width="19.33203125" style="3" bestFit="1" customWidth="1"/>
    <col min="4" max="4" width="19.33203125" style="3" customWidth="1"/>
    <col min="5" max="5" width="21.6640625" style="3" bestFit="1" customWidth="1"/>
    <col min="6" max="6" width="15.5" style="3" customWidth="1"/>
    <col min="7" max="7" width="15.83203125" style="3" customWidth="1"/>
    <col min="8" max="8" width="19.6640625" style="3" customWidth="1"/>
    <col min="9" max="16384" width="8.83203125" style="3"/>
  </cols>
  <sheetData>
    <row r="1" spans="2:8" ht="7" customHeight="1" x14ac:dyDescent="0.2"/>
    <row r="2" spans="2:8" ht="19" x14ac:dyDescent="0.25">
      <c r="B2" s="191" t="s">
        <v>49</v>
      </c>
      <c r="C2" s="192"/>
      <c r="D2" s="192"/>
      <c r="E2" s="192"/>
      <c r="F2" s="192"/>
      <c r="G2" s="192"/>
      <c r="H2" s="193"/>
    </row>
    <row r="3" spans="2:8" ht="16" x14ac:dyDescent="0.2">
      <c r="B3" s="194" t="s">
        <v>50</v>
      </c>
      <c r="C3" s="195"/>
      <c r="D3" s="195"/>
      <c r="E3" s="195"/>
      <c r="F3" s="195"/>
      <c r="G3" s="195"/>
      <c r="H3" s="196"/>
    </row>
    <row r="4" spans="2:8" ht="16" x14ac:dyDescent="0.2">
      <c r="B4" s="10" t="s">
        <v>51</v>
      </c>
      <c r="C4" s="11"/>
      <c r="D4" s="11"/>
      <c r="E4" s="11"/>
      <c r="F4" s="11"/>
      <c r="G4" s="11"/>
      <c r="H4" s="12"/>
    </row>
    <row r="5" spans="2:8" ht="16" x14ac:dyDescent="0.2">
      <c r="B5" s="10"/>
      <c r="C5" s="11"/>
      <c r="D5" s="11"/>
      <c r="E5" s="11"/>
      <c r="F5" s="11"/>
      <c r="G5" s="11"/>
      <c r="H5" s="12"/>
    </row>
    <row r="6" spans="2:8" ht="16" x14ac:dyDescent="0.2">
      <c r="B6" s="13" t="s">
        <v>52</v>
      </c>
      <c r="C6" s="11"/>
      <c r="D6" s="11"/>
      <c r="E6" s="11"/>
      <c r="F6" s="11"/>
      <c r="G6" s="11"/>
      <c r="H6" s="12"/>
    </row>
    <row r="7" spans="2:8" ht="16" x14ac:dyDescent="0.2">
      <c r="B7" s="197" t="s">
        <v>53</v>
      </c>
      <c r="C7" s="198"/>
      <c r="D7" s="198"/>
      <c r="E7" s="198"/>
      <c r="F7" s="198"/>
      <c r="G7" s="198"/>
      <c r="H7" s="199"/>
    </row>
    <row r="8" spans="2:8" ht="16" x14ac:dyDescent="0.2">
      <c r="B8" s="200" t="s">
        <v>54</v>
      </c>
      <c r="C8" s="201"/>
      <c r="D8" s="201"/>
      <c r="E8" s="201"/>
      <c r="F8" s="201"/>
      <c r="G8" s="201"/>
      <c r="H8" s="202"/>
    </row>
    <row r="9" spans="2:8" ht="16" x14ac:dyDescent="0.2">
      <c r="B9" s="197" t="s">
        <v>55</v>
      </c>
      <c r="C9" s="198"/>
      <c r="D9" s="198"/>
      <c r="E9" s="198"/>
      <c r="F9" s="198"/>
      <c r="G9" s="198"/>
      <c r="H9" s="199"/>
    </row>
    <row r="10" spans="2:8" ht="16" x14ac:dyDescent="0.2">
      <c r="B10" s="14" t="s">
        <v>56</v>
      </c>
      <c r="C10" s="11"/>
      <c r="D10" s="11"/>
      <c r="E10" s="11"/>
      <c r="F10" s="11"/>
      <c r="G10" s="11"/>
      <c r="H10" s="12"/>
    </row>
    <row r="11" spans="2:8" ht="16" x14ac:dyDescent="0.2">
      <c r="B11" s="15" t="s">
        <v>57</v>
      </c>
      <c r="C11" s="16"/>
      <c r="D11" s="16"/>
      <c r="E11" s="16"/>
      <c r="F11" s="16"/>
      <c r="G11" s="16"/>
      <c r="H11" s="17"/>
    </row>
    <row r="12" spans="2:8" ht="16" x14ac:dyDescent="0.2">
      <c r="B12" s="18"/>
      <c r="C12" s="18"/>
      <c r="D12" s="18"/>
      <c r="E12" s="18"/>
      <c r="F12" s="18"/>
      <c r="G12" s="18"/>
      <c r="H12" s="18"/>
    </row>
    <row r="13" spans="2:8" ht="16" x14ac:dyDescent="0.2">
      <c r="B13" s="18"/>
      <c r="C13" s="18"/>
      <c r="D13" s="18"/>
      <c r="E13" s="18"/>
      <c r="F13" s="18"/>
      <c r="G13" s="18"/>
      <c r="H13" s="18"/>
    </row>
    <row r="14" spans="2:8" ht="16" x14ac:dyDescent="0.2">
      <c r="B14" s="19" t="s">
        <v>58</v>
      </c>
      <c r="C14" s="20">
        <v>3.2050000000000002E-2</v>
      </c>
      <c r="D14" s="21"/>
      <c r="E14" s="22"/>
      <c r="F14" s="22"/>
      <c r="G14" s="22"/>
      <c r="H14" s="22"/>
    </row>
    <row r="15" spans="2:8" ht="16" x14ac:dyDescent="0.2">
      <c r="B15" s="19" t="s">
        <v>59</v>
      </c>
      <c r="C15" s="23">
        <v>12</v>
      </c>
      <c r="D15" s="24"/>
      <c r="E15" s="22"/>
      <c r="F15" s="22"/>
      <c r="G15" s="22"/>
      <c r="H15" s="22"/>
    </row>
    <row r="16" spans="2:8" ht="16" x14ac:dyDescent="0.2">
      <c r="B16" s="18"/>
      <c r="C16" s="18"/>
      <c r="D16" s="22"/>
      <c r="E16" s="22"/>
      <c r="F16" s="22"/>
      <c r="G16" s="22"/>
    </row>
    <row r="17" spans="2:7" ht="16" x14ac:dyDescent="0.2">
      <c r="B17" s="19" t="s">
        <v>60</v>
      </c>
      <c r="C17" s="25">
        <f>AVERAGE(F22:F52)</f>
        <v>581.21324529041465</v>
      </c>
      <c r="D17" s="22"/>
      <c r="E17" s="22"/>
      <c r="F17" s="22"/>
      <c r="G17" s="22"/>
    </row>
    <row r="18" spans="2:7" ht="16" x14ac:dyDescent="0.2">
      <c r="B18" s="18"/>
      <c r="C18" s="18"/>
      <c r="D18" s="22"/>
      <c r="E18" s="22" t="s">
        <v>61</v>
      </c>
      <c r="F18" s="22"/>
      <c r="G18" s="22"/>
    </row>
    <row r="19" spans="2:7" ht="16" x14ac:dyDescent="0.2">
      <c r="B19" s="18"/>
      <c r="C19" s="18"/>
      <c r="D19" s="22"/>
      <c r="F19" s="22"/>
      <c r="G19" s="22"/>
    </row>
    <row r="20" spans="2:7" ht="16" x14ac:dyDescent="0.2">
      <c r="B20" s="22"/>
      <c r="C20" s="22"/>
      <c r="D20" s="22"/>
      <c r="E20" s="22"/>
      <c r="F20" s="22"/>
      <c r="G20" s="22"/>
    </row>
    <row r="21" spans="2:7" ht="34" x14ac:dyDescent="0.2">
      <c r="B21" s="19" t="s">
        <v>62</v>
      </c>
      <c r="C21" s="26" t="s">
        <v>63</v>
      </c>
      <c r="D21" s="26" t="s">
        <v>64</v>
      </c>
      <c r="E21" s="26" t="s">
        <v>65</v>
      </c>
      <c r="F21" s="27" t="s">
        <v>66</v>
      </c>
      <c r="G21" s="27" t="s">
        <v>67</v>
      </c>
    </row>
    <row r="22" spans="2:7" ht="16" x14ac:dyDescent="0.2">
      <c r="B22" s="28">
        <v>8807554</v>
      </c>
      <c r="C22" s="29">
        <v>155257</v>
      </c>
      <c r="D22" s="28">
        <v>360</v>
      </c>
      <c r="E22" s="30">
        <f t="shared" ref="E22:E52" si="0">(C22*C$14)/(1-(1+C$14)^-D22)</f>
        <v>4976.0450092175251</v>
      </c>
      <c r="F22" s="30">
        <f t="shared" ref="F22:F52" si="1">E22/C$15</f>
        <v>414.67041743479376</v>
      </c>
      <c r="G22" s="31" t="str">
        <f t="shared" ref="G22:G52" si="2">IF(F22&gt;C$17, "Above", "Below")</f>
        <v>Below</v>
      </c>
    </row>
    <row r="23" spans="2:7" ht="16" x14ac:dyDescent="0.2">
      <c r="B23" s="28">
        <v>7097793</v>
      </c>
      <c r="C23" s="29">
        <v>208914</v>
      </c>
      <c r="D23" s="28">
        <v>360</v>
      </c>
      <c r="E23" s="30">
        <f t="shared" si="0"/>
        <v>6695.7719591108298</v>
      </c>
      <c r="F23" s="30">
        <f t="shared" si="1"/>
        <v>557.98099659256911</v>
      </c>
      <c r="G23" s="31" t="str">
        <f t="shared" si="2"/>
        <v>Below</v>
      </c>
    </row>
    <row r="24" spans="2:7" ht="16" x14ac:dyDescent="0.2">
      <c r="B24" s="28">
        <v>3155499</v>
      </c>
      <c r="C24" s="29">
        <v>278503</v>
      </c>
      <c r="D24" s="28">
        <v>180</v>
      </c>
      <c r="E24" s="30">
        <f t="shared" si="0"/>
        <v>8956.6416534075743</v>
      </c>
      <c r="F24" s="30">
        <f t="shared" si="1"/>
        <v>746.38680445063119</v>
      </c>
      <c r="G24" s="31" t="str">
        <f t="shared" si="2"/>
        <v>Above</v>
      </c>
    </row>
    <row r="25" spans="2:7" ht="16" x14ac:dyDescent="0.2">
      <c r="B25" s="28">
        <v>4832720</v>
      </c>
      <c r="C25" s="32">
        <v>89329</v>
      </c>
      <c r="D25" s="28">
        <v>180</v>
      </c>
      <c r="E25" s="30">
        <f t="shared" si="0"/>
        <v>2872.8158844150521</v>
      </c>
      <c r="F25" s="30">
        <f t="shared" si="1"/>
        <v>239.40132370125434</v>
      </c>
      <c r="G25" s="31" t="str">
        <f t="shared" si="2"/>
        <v>Below</v>
      </c>
    </row>
    <row r="26" spans="2:7" ht="16" x14ac:dyDescent="0.2">
      <c r="B26" s="28">
        <v>4374466</v>
      </c>
      <c r="C26" s="32">
        <v>164635</v>
      </c>
      <c r="D26" s="28">
        <v>180</v>
      </c>
      <c r="E26" s="30">
        <f t="shared" si="0"/>
        <v>5294.6528353689409</v>
      </c>
      <c r="F26" s="30">
        <f t="shared" si="1"/>
        <v>441.22106961407843</v>
      </c>
      <c r="G26" s="31" t="str">
        <f t="shared" si="2"/>
        <v>Below</v>
      </c>
    </row>
    <row r="27" spans="2:7" ht="16" x14ac:dyDescent="0.2">
      <c r="B27" s="28">
        <v>7004989</v>
      </c>
      <c r="C27" s="32">
        <v>82314</v>
      </c>
      <c r="D27" s="28">
        <v>180</v>
      </c>
      <c r="E27" s="30">
        <f t="shared" si="0"/>
        <v>2647.2138578707986</v>
      </c>
      <c r="F27" s="30">
        <f t="shared" si="1"/>
        <v>220.60115482256654</v>
      </c>
      <c r="G27" s="31" t="str">
        <f t="shared" si="2"/>
        <v>Below</v>
      </c>
    </row>
    <row r="28" spans="2:7" ht="16" x14ac:dyDescent="0.2">
      <c r="B28" s="28">
        <v>6380872</v>
      </c>
      <c r="C28" s="29">
        <v>207381</v>
      </c>
      <c r="D28" s="28">
        <v>360</v>
      </c>
      <c r="E28" s="30">
        <f t="shared" si="0"/>
        <v>6646.6387348495691</v>
      </c>
      <c r="F28" s="30">
        <f t="shared" si="1"/>
        <v>553.88656123746409</v>
      </c>
      <c r="G28" s="31" t="str">
        <f t="shared" si="2"/>
        <v>Below</v>
      </c>
    </row>
    <row r="29" spans="2:7" ht="16" x14ac:dyDescent="0.2">
      <c r="B29" s="28">
        <v>3364899</v>
      </c>
      <c r="C29" s="29">
        <v>253779</v>
      </c>
      <c r="D29" s="28">
        <v>360</v>
      </c>
      <c r="E29" s="30">
        <f t="shared" si="0"/>
        <v>8133.7120155240291</v>
      </c>
      <c r="F29" s="30">
        <f t="shared" si="1"/>
        <v>677.80933462700239</v>
      </c>
      <c r="G29" s="31" t="str">
        <f t="shared" si="2"/>
        <v>Above</v>
      </c>
    </row>
    <row r="30" spans="2:7" ht="16" x14ac:dyDescent="0.2">
      <c r="B30" s="28">
        <v>7396558</v>
      </c>
      <c r="C30" s="29">
        <v>143478</v>
      </c>
      <c r="D30" s="28">
        <v>360</v>
      </c>
      <c r="E30" s="30">
        <f t="shared" si="0"/>
        <v>4598.523646808273</v>
      </c>
      <c r="F30" s="30">
        <f t="shared" si="1"/>
        <v>383.21030390068944</v>
      </c>
      <c r="G30" s="31" t="str">
        <f t="shared" si="2"/>
        <v>Below</v>
      </c>
    </row>
    <row r="31" spans="2:7" ht="16" x14ac:dyDescent="0.2">
      <c r="B31" s="28">
        <v>5154006</v>
      </c>
      <c r="C31" s="29">
        <v>91909</v>
      </c>
      <c r="D31" s="28">
        <v>360</v>
      </c>
      <c r="E31" s="30">
        <f t="shared" si="0"/>
        <v>2945.7178790790331</v>
      </c>
      <c r="F31" s="30">
        <f t="shared" si="1"/>
        <v>245.47648992325276</v>
      </c>
      <c r="G31" s="31" t="str">
        <f t="shared" si="2"/>
        <v>Below</v>
      </c>
    </row>
    <row r="32" spans="2:7" ht="16" x14ac:dyDescent="0.2">
      <c r="B32" s="28">
        <v>6905105</v>
      </c>
      <c r="C32" s="29">
        <v>172864</v>
      </c>
      <c r="D32" s="28">
        <v>360</v>
      </c>
      <c r="E32" s="30">
        <f t="shared" si="0"/>
        <v>5540.3559547935247</v>
      </c>
      <c r="F32" s="30">
        <f t="shared" si="1"/>
        <v>461.69632956612708</v>
      </c>
      <c r="G32" s="31" t="str">
        <f t="shared" si="2"/>
        <v>Below</v>
      </c>
    </row>
    <row r="33" spans="2:7" ht="16" x14ac:dyDescent="0.2">
      <c r="B33" s="28">
        <v>1106474</v>
      </c>
      <c r="C33" s="29">
        <v>309260</v>
      </c>
      <c r="D33" s="28">
        <v>360</v>
      </c>
      <c r="E33" s="30">
        <f t="shared" si="0"/>
        <v>9911.8988486870912</v>
      </c>
      <c r="F33" s="30">
        <f t="shared" si="1"/>
        <v>825.99157072392427</v>
      </c>
      <c r="G33" s="31" t="str">
        <f t="shared" si="2"/>
        <v>Above</v>
      </c>
    </row>
    <row r="34" spans="2:7" ht="16" x14ac:dyDescent="0.2">
      <c r="B34" s="28">
        <v>4966448</v>
      </c>
      <c r="C34" s="29">
        <v>266762</v>
      </c>
      <c r="D34" s="28">
        <v>180</v>
      </c>
      <c r="E34" s="30">
        <f t="shared" si="0"/>
        <v>8579.0517184601649</v>
      </c>
      <c r="F34" s="30">
        <f t="shared" si="1"/>
        <v>714.92097653834708</v>
      </c>
      <c r="G34" s="31" t="str">
        <f t="shared" si="2"/>
        <v>Above</v>
      </c>
    </row>
    <row r="35" spans="2:7" ht="16" x14ac:dyDescent="0.2">
      <c r="B35" s="28">
        <v>2499610</v>
      </c>
      <c r="C35" s="29">
        <v>80750</v>
      </c>
      <c r="D35" s="28">
        <v>180</v>
      </c>
      <c r="E35" s="30">
        <f t="shared" si="0"/>
        <v>2596.915701133064</v>
      </c>
      <c r="F35" s="30">
        <f t="shared" si="1"/>
        <v>216.40964176108866</v>
      </c>
      <c r="G35" s="31" t="str">
        <f t="shared" si="2"/>
        <v>Below</v>
      </c>
    </row>
    <row r="36" spans="2:7" ht="16" x14ac:dyDescent="0.2">
      <c r="B36" s="28">
        <v>2501081</v>
      </c>
      <c r="C36" s="29">
        <v>281186</v>
      </c>
      <c r="D36" s="28">
        <v>180</v>
      </c>
      <c r="E36" s="30">
        <f t="shared" si="0"/>
        <v>9042.9267905733941</v>
      </c>
      <c r="F36" s="30">
        <f t="shared" si="1"/>
        <v>753.57723254778284</v>
      </c>
      <c r="G36" s="31" t="str">
        <f t="shared" si="2"/>
        <v>Above</v>
      </c>
    </row>
    <row r="37" spans="2:7" ht="16" x14ac:dyDescent="0.2">
      <c r="B37" s="33">
        <v>5627943</v>
      </c>
      <c r="C37" s="29">
        <v>309712</v>
      </c>
      <c r="D37" s="28">
        <v>360</v>
      </c>
      <c r="E37" s="30">
        <f t="shared" si="0"/>
        <v>9926.3856180061339</v>
      </c>
      <c r="F37" s="30">
        <f t="shared" si="1"/>
        <v>827.19880150051119</v>
      </c>
      <c r="G37" s="31" t="str">
        <f t="shared" si="2"/>
        <v>Above</v>
      </c>
    </row>
    <row r="38" spans="2:7" ht="16" x14ac:dyDescent="0.2">
      <c r="B38" s="33">
        <v>7992798</v>
      </c>
      <c r="C38" s="29">
        <v>388453</v>
      </c>
      <c r="D38" s="28">
        <v>360</v>
      </c>
      <c r="E38" s="30">
        <f t="shared" si="0"/>
        <v>12450.064164357003</v>
      </c>
      <c r="F38" s="30">
        <f t="shared" si="1"/>
        <v>1037.5053470297503</v>
      </c>
      <c r="G38" s="31" t="str">
        <f t="shared" si="2"/>
        <v>Above</v>
      </c>
    </row>
    <row r="39" spans="2:7" ht="16" x14ac:dyDescent="0.2">
      <c r="B39" s="33">
        <v>9237448</v>
      </c>
      <c r="C39" s="34">
        <v>97896</v>
      </c>
      <c r="D39" s="28">
        <v>360</v>
      </c>
      <c r="E39" s="30">
        <f t="shared" si="0"/>
        <v>3137.6034718071251</v>
      </c>
      <c r="F39" s="30">
        <f t="shared" si="1"/>
        <v>261.46695598392711</v>
      </c>
      <c r="G39" s="31" t="str">
        <f t="shared" si="2"/>
        <v>Below</v>
      </c>
    </row>
    <row r="40" spans="2:7" ht="16" x14ac:dyDescent="0.2">
      <c r="B40" s="33">
        <v>3618933</v>
      </c>
      <c r="C40" s="34">
        <v>286470</v>
      </c>
      <c r="D40" s="28">
        <v>180</v>
      </c>
      <c r="E40" s="30">
        <f t="shared" si="0"/>
        <v>9212.8599492704507</v>
      </c>
      <c r="F40" s="30">
        <f t="shared" si="1"/>
        <v>767.73832910587089</v>
      </c>
      <c r="G40" s="31" t="str">
        <f t="shared" si="2"/>
        <v>Above</v>
      </c>
    </row>
    <row r="41" spans="2:7" ht="16" x14ac:dyDescent="0.2">
      <c r="B41" s="33">
        <v>1041155</v>
      </c>
      <c r="C41" s="34">
        <v>378812</v>
      </c>
      <c r="D41" s="28">
        <v>360</v>
      </c>
      <c r="E41" s="30">
        <f t="shared" si="0"/>
        <v>12141.066502841797</v>
      </c>
      <c r="F41" s="30">
        <f t="shared" si="1"/>
        <v>1011.755541903483</v>
      </c>
      <c r="G41" s="31" t="str">
        <f t="shared" si="2"/>
        <v>Above</v>
      </c>
    </row>
    <row r="42" spans="2:7" ht="16" x14ac:dyDescent="0.2">
      <c r="B42" s="33">
        <v>1217733</v>
      </c>
      <c r="C42" s="35">
        <v>269295</v>
      </c>
      <c r="D42" s="28">
        <v>360</v>
      </c>
      <c r="E42" s="30">
        <f t="shared" si="0"/>
        <v>8631.0056278121647</v>
      </c>
      <c r="F42" s="30">
        <f t="shared" si="1"/>
        <v>719.25046898434709</v>
      </c>
      <c r="G42" s="31" t="str">
        <f t="shared" si="2"/>
        <v>Above</v>
      </c>
    </row>
    <row r="43" spans="2:7" ht="16" x14ac:dyDescent="0.2">
      <c r="B43" s="33">
        <v>1147255</v>
      </c>
      <c r="C43" s="34">
        <v>276644</v>
      </c>
      <c r="D43" s="28">
        <v>360</v>
      </c>
      <c r="E43" s="30">
        <f t="shared" si="0"/>
        <v>8866.5438307449785</v>
      </c>
      <c r="F43" s="30">
        <f t="shared" si="1"/>
        <v>738.87865256208158</v>
      </c>
      <c r="G43" s="31" t="str">
        <f t="shared" si="2"/>
        <v>Above</v>
      </c>
    </row>
    <row r="44" spans="2:7" ht="16" x14ac:dyDescent="0.2">
      <c r="B44" s="33">
        <v>8889499</v>
      </c>
      <c r="C44" s="34">
        <v>157616</v>
      </c>
      <c r="D44" s="28">
        <v>180</v>
      </c>
      <c r="E44" s="30">
        <f t="shared" si="0"/>
        <v>5068.9221690376344</v>
      </c>
      <c r="F44" s="30">
        <f t="shared" si="1"/>
        <v>422.41018075313622</v>
      </c>
      <c r="G44" s="31" t="str">
        <f t="shared" si="2"/>
        <v>Below</v>
      </c>
    </row>
    <row r="45" spans="2:7" ht="16" x14ac:dyDescent="0.2">
      <c r="B45" s="33">
        <v>9298452</v>
      </c>
      <c r="C45" s="34">
        <v>223821</v>
      </c>
      <c r="D45" s="28">
        <v>180</v>
      </c>
      <c r="E45" s="30">
        <f t="shared" si="0"/>
        <v>7198.0714444991136</v>
      </c>
      <c r="F45" s="30">
        <f t="shared" si="1"/>
        <v>599.8392870415928</v>
      </c>
      <c r="G45" s="31" t="str">
        <f t="shared" si="2"/>
        <v>Above</v>
      </c>
    </row>
    <row r="46" spans="2:7" ht="16" x14ac:dyDescent="0.2">
      <c r="B46" s="33">
        <v>8249491</v>
      </c>
      <c r="C46" s="34">
        <v>119926</v>
      </c>
      <c r="D46" s="28">
        <v>180</v>
      </c>
      <c r="E46" s="30">
        <f t="shared" si="0"/>
        <v>3856.8137755304497</v>
      </c>
      <c r="F46" s="30">
        <f t="shared" si="1"/>
        <v>321.40114796087079</v>
      </c>
      <c r="G46" s="31" t="str">
        <f t="shared" si="2"/>
        <v>Below</v>
      </c>
    </row>
    <row r="47" spans="2:7" ht="16" x14ac:dyDescent="0.2">
      <c r="B47" s="33">
        <v>2038484</v>
      </c>
      <c r="C47" s="34">
        <v>96473</v>
      </c>
      <c r="D47" s="28">
        <v>360</v>
      </c>
      <c r="E47" s="30">
        <f t="shared" si="0"/>
        <v>3091.9957887518262</v>
      </c>
      <c r="F47" s="30">
        <f t="shared" si="1"/>
        <v>257.66631572931885</v>
      </c>
      <c r="G47" s="31" t="str">
        <f t="shared" si="2"/>
        <v>Below</v>
      </c>
    </row>
    <row r="48" spans="2:7" ht="16" x14ac:dyDescent="0.2">
      <c r="B48" s="33">
        <v>4833338</v>
      </c>
      <c r="C48" s="34">
        <v>89694</v>
      </c>
      <c r="D48" s="28">
        <v>360</v>
      </c>
      <c r="E48" s="30">
        <f t="shared" si="0"/>
        <v>2874.7262993408135</v>
      </c>
      <c r="F48" s="30">
        <f t="shared" si="1"/>
        <v>239.56052494506778</v>
      </c>
      <c r="G48" s="31" t="str">
        <f t="shared" si="2"/>
        <v>Below</v>
      </c>
    </row>
    <row r="49" spans="2:7" ht="16" x14ac:dyDescent="0.2">
      <c r="B49" s="33">
        <v>9690021</v>
      </c>
      <c r="C49" s="34">
        <v>372464</v>
      </c>
      <c r="D49" s="28">
        <v>360</v>
      </c>
      <c r="E49" s="30">
        <f t="shared" si="0"/>
        <v>11937.610724883232</v>
      </c>
      <c r="F49" s="30">
        <f t="shared" si="1"/>
        <v>994.80089374026932</v>
      </c>
      <c r="G49" s="31" t="str">
        <f t="shared" si="2"/>
        <v>Above</v>
      </c>
    </row>
    <row r="50" spans="2:7" ht="16" x14ac:dyDescent="0.2">
      <c r="B50" s="33">
        <v>7163676</v>
      </c>
      <c r="C50" s="34">
        <v>348703</v>
      </c>
      <c r="D50" s="28">
        <v>360</v>
      </c>
      <c r="E50" s="30">
        <f t="shared" si="0"/>
        <v>11176.061774021</v>
      </c>
      <c r="F50" s="30">
        <f t="shared" si="1"/>
        <v>931.33848116841671</v>
      </c>
      <c r="G50" s="31" t="str">
        <f t="shared" si="2"/>
        <v>Above</v>
      </c>
    </row>
    <row r="51" spans="2:7" ht="16" x14ac:dyDescent="0.2">
      <c r="B51" s="33">
        <v>7537059</v>
      </c>
      <c r="C51" s="34">
        <v>190445</v>
      </c>
      <c r="D51" s="28">
        <v>360</v>
      </c>
      <c r="E51" s="30">
        <f t="shared" si="0"/>
        <v>6103.8335906299335</v>
      </c>
      <c r="F51" s="30">
        <f t="shared" si="1"/>
        <v>508.65279921916112</v>
      </c>
      <c r="G51" s="31" t="str">
        <f t="shared" si="2"/>
        <v>Below</v>
      </c>
    </row>
    <row r="52" spans="2:7" ht="16" x14ac:dyDescent="0.2">
      <c r="B52" s="33">
        <v>5194348</v>
      </c>
      <c r="C52" s="34">
        <v>345115</v>
      </c>
      <c r="D52" s="28">
        <v>180</v>
      </c>
      <c r="E52" s="30">
        <f t="shared" si="0"/>
        <v>11098.8800272017</v>
      </c>
      <c r="F52" s="30">
        <f t="shared" si="1"/>
        <v>924.90666893347498</v>
      </c>
      <c r="G52" s="31" t="str">
        <f t="shared" si="2"/>
        <v>Above</v>
      </c>
    </row>
  </sheetData>
  <mergeCells count="5">
    <mergeCell ref="B2:H2"/>
    <mergeCell ref="B3:H3"/>
    <mergeCell ref="B7:H7"/>
    <mergeCell ref="B8:H8"/>
    <mergeCell ref="B9:H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Assets</vt:lpstr>
      <vt:lpstr>Financial Analysis Bal Sheet</vt:lpstr>
      <vt:lpstr>Merchandiser Budget</vt:lpstr>
      <vt:lpstr>Bakery Pivots</vt:lpstr>
      <vt:lpstr>LoanPayment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Kenyo, Lauren</dc:creator>
  <cp:lastModifiedBy>Raymond Frost</cp:lastModifiedBy>
  <dcterms:created xsi:type="dcterms:W3CDTF">2024-07-10T00:43:27Z</dcterms:created>
  <dcterms:modified xsi:type="dcterms:W3CDTF">2024-08-08T19:44:11Z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Keep original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Ignore number formatting">
    <vt:lpwstr>selected</vt:lpwstr>
  </property>
  <property fmtid="{D5CDD505-2E9C-101B-9397-08002B2CF9AE}" pid="12" name="Keep original borders/shading">
    <vt:lpwstr>selected</vt:lpwstr>
  </property>
  <property fmtid="{D5CDD505-2E9C-101B-9397-08002B2CF9AE}" pid="13" name="Do NOT 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1E-05">
    <vt:lpwstr>selected</vt:lpwstr>
  </property>
  <property fmtid="{D5CDD505-2E9C-101B-9397-08002B2CF9AE}" pid="18" name="200">
    <vt:lpwstr>selected</vt:lpwstr>
  </property>
  <property fmtid="{D5CDD505-2E9C-101B-9397-08002B2CF9AE}" pid="19" name="One generic file for all">
    <vt:lpwstr>selected</vt:lpwstr>
  </property>
  <property fmtid="{D5CDD505-2E9C-101B-9397-08002B2CF9AE}" pid="20" name="Keep original formulas">
    <vt:lpwstr>selected</vt:lpwstr>
  </property>
  <property fmtid="{D5CDD505-2E9C-101B-9397-08002B2CF9AE}" pid="21" name="Keep original values">
    <vt:lpwstr>selected</vt:lpwstr>
  </property>
  <property fmtid="{D5CDD505-2E9C-101B-9397-08002B2CF9AE}" pid="22" name="Full assignment">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